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iigcc.sharepoint.com/Shared Documents/Corporate Programme/7. Transition Research/Projects/Workstream 1 - Sector Specific/Oil &amp; Gas Standard/"/>
    </mc:Choice>
  </mc:AlternateContent>
  <xr:revisionPtr revIDLastSave="660" documentId="13_ncr:1_{5862CC4E-B107-466E-987C-7DEEB265D82F}" xr6:coauthVersionLast="47" xr6:coauthVersionMax="47" xr10:uidLastSave="{24C91B07-5EA3-4711-A723-553794E7BE30}"/>
  <bookViews>
    <workbookView xWindow="28680" yWindow="-120" windowWidth="29040" windowHeight="15720" tabRatio="924" xr2:uid="{E236875B-E4D3-4080-9912-C42458FC4F6C}"/>
  </bookViews>
  <sheets>
    <sheet name="Start" sheetId="15" r:id="rId1"/>
    <sheet name="How the NZS works" sheetId="8" r:id="rId2"/>
    <sheet name="Summary" sheetId="14" r:id="rId3"/>
    <sheet name="Company Scorecard - select" sheetId="6" r:id="rId4"/>
    <sheet name="Company Comparisons" sheetId="24" r:id="rId5"/>
    <sheet name="NZS O&amp;G and CA100" sheetId="3" state="hidden" r:id="rId6"/>
    <sheet name="NZS O&amp;G Summary" sheetId="19" r:id="rId7"/>
    <sheet name="CA100 2023 Scores" sheetId="5" state="hidden" r:id="rId8"/>
  </sheets>
  <externalReferences>
    <externalReference r:id="rId9"/>
  </externalReferences>
  <definedNames>
    <definedName name="_1._Structure" localSheetId="1">'How the NZS works'!$B$14</definedName>
    <definedName name="_5._How_to_use_this_workbook">'How the NZS works'!$B$70</definedName>
    <definedName name="_xlnm._FilterDatabase" localSheetId="4" hidden="1">'Company Comparisons'!$D$1:$M$212</definedName>
    <definedName name="_xlnm._FilterDatabase" localSheetId="6" hidden="1">'NZS O&amp;G Summary'!$A$3:$O$3</definedName>
    <definedName name="_xlnm._FilterDatabase" localSheetId="2" hidden="1">Summary!$B$4:$F$14</definedName>
    <definedName name="Aggregating_metrics_into_sub_indicator_and_indicator_and_colour_coding" localSheetId="1">'How the NZS works'!$B$20</definedName>
    <definedName name="Classification_of_metrics_by_type___Bucketing" localSheetId="1">'How the NZS works'!$B$17</definedName>
    <definedName name="Status_of_alignment_assessments" localSheetId="1">'How the NZS works'!$B$55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9" l="1"/>
  <c r="F5" i="19"/>
  <c r="A143" i="6"/>
  <c r="A142" i="6"/>
  <c r="A139" i="6"/>
  <c r="A140" i="6"/>
  <c r="A132" i="6"/>
  <c r="A133" i="6"/>
  <c r="A134" i="6"/>
  <c r="A135" i="6"/>
  <c r="A136" i="6"/>
  <c r="A137" i="6"/>
  <c r="A138" i="6"/>
  <c r="A120" i="6"/>
  <c r="A121" i="6"/>
  <c r="A122" i="6"/>
  <c r="A123" i="6"/>
  <c r="A124" i="6"/>
  <c r="A125" i="6"/>
  <c r="A126" i="6"/>
  <c r="A127" i="6"/>
  <c r="A128" i="6"/>
  <c r="A95" i="6"/>
  <c r="A96" i="6"/>
  <c r="A97" i="6"/>
  <c r="A98" i="6"/>
  <c r="A99" i="6"/>
  <c r="A100" i="6"/>
  <c r="A101" i="6"/>
  <c r="A102" i="6"/>
  <c r="A103" i="6"/>
  <c r="A104" i="6"/>
  <c r="A105" i="6"/>
  <c r="A106" i="6"/>
  <c r="A107" i="6"/>
  <c r="A108" i="6"/>
  <c r="A109" i="6"/>
  <c r="A110" i="6"/>
  <c r="A111" i="6"/>
  <c r="A94" i="6"/>
  <c r="A87" i="6"/>
  <c r="A88" i="6"/>
  <c r="A89" i="6"/>
  <c r="A90" i="6"/>
  <c r="A91" i="6"/>
  <c r="A92" i="6"/>
  <c r="A86" i="6"/>
  <c r="A78" i="6"/>
  <c r="A79" i="6"/>
  <c r="A80" i="6"/>
  <c r="A81" i="6"/>
  <c r="A82" i="6"/>
  <c r="A83" i="6"/>
  <c r="A84" i="6"/>
  <c r="A62" i="6"/>
  <c r="A63" i="6"/>
  <c r="A64" i="6"/>
  <c r="A65" i="6"/>
  <c r="A66" i="6"/>
  <c r="A67" i="6"/>
  <c r="A68" i="6"/>
  <c r="A69" i="6"/>
  <c r="A70" i="6"/>
  <c r="A71" i="6"/>
  <c r="A72" i="6"/>
  <c r="A73" i="6"/>
  <c r="A74" i="6"/>
  <c r="A57" i="6"/>
  <c r="A58" i="6"/>
  <c r="A36" i="6"/>
  <c r="A37" i="6"/>
  <c r="A38" i="6"/>
  <c r="A35" i="6"/>
  <c r="A24" i="6"/>
  <c r="A25" i="6"/>
  <c r="A26" i="6"/>
  <c r="A23" i="6"/>
  <c r="J5" i="19" l="1"/>
  <c r="I5" i="19"/>
  <c r="E202" i="24" l="1"/>
  <c r="F202" i="24"/>
  <c r="G202" i="24"/>
  <c r="H202" i="24"/>
  <c r="I202" i="24"/>
  <c r="J202" i="24"/>
  <c r="K202" i="24"/>
  <c r="L202" i="24"/>
  <c r="M202" i="24"/>
  <c r="D202" i="24"/>
  <c r="D203" i="24"/>
  <c r="D204" i="24"/>
  <c r="E204" i="24"/>
  <c r="F204" i="24"/>
  <c r="G204" i="24"/>
  <c r="D205" i="24"/>
  <c r="E205" i="24"/>
  <c r="F205" i="24"/>
  <c r="G205" i="24"/>
  <c r="D206" i="24"/>
  <c r="E206" i="24"/>
  <c r="F206" i="24"/>
  <c r="G206" i="24"/>
  <c r="E203" i="24"/>
  <c r="F203" i="24"/>
  <c r="G203" i="24"/>
  <c r="D201" i="24"/>
  <c r="E201" i="24"/>
  <c r="F201" i="24"/>
  <c r="G201" i="24"/>
  <c r="H201" i="24"/>
  <c r="D200" i="24"/>
  <c r="E200" i="24"/>
  <c r="F200" i="24"/>
  <c r="G200" i="24"/>
  <c r="D199" i="24"/>
  <c r="E199" i="24"/>
  <c r="F199" i="24"/>
  <c r="G199" i="24"/>
  <c r="I199" i="24"/>
  <c r="J199" i="24"/>
  <c r="K199" i="24"/>
  <c r="L199" i="24"/>
  <c r="M199" i="24"/>
  <c r="H204" i="24"/>
  <c r="I204" i="24"/>
  <c r="J204" i="24"/>
  <c r="K204" i="24"/>
  <c r="L204" i="24"/>
  <c r="M204" i="24"/>
  <c r="H205" i="24"/>
  <c r="I205" i="24"/>
  <c r="J205" i="24"/>
  <c r="K205" i="24"/>
  <c r="L205" i="24"/>
  <c r="M205" i="24"/>
  <c r="H206" i="24"/>
  <c r="I206" i="24"/>
  <c r="J206" i="24"/>
  <c r="K206" i="24"/>
  <c r="L206" i="24"/>
  <c r="M206" i="24"/>
  <c r="I203" i="24"/>
  <c r="J203" i="24"/>
  <c r="K203" i="24"/>
  <c r="L203" i="24"/>
  <c r="M203" i="24"/>
  <c r="H203" i="24"/>
  <c r="H199" i="24"/>
  <c r="I200" i="24"/>
  <c r="J200" i="24"/>
  <c r="K200" i="24"/>
  <c r="L200" i="24"/>
  <c r="M200" i="24"/>
  <c r="I201" i="24"/>
  <c r="J201" i="24"/>
  <c r="K201" i="24"/>
  <c r="L201" i="24"/>
  <c r="M201" i="24"/>
  <c r="H200" i="24"/>
  <c r="N138" i="3"/>
  <c r="N137" i="3"/>
  <c r="N135" i="3"/>
  <c r="N134" i="3"/>
  <c r="N133" i="3"/>
  <c r="N132" i="3"/>
  <c r="N131" i="3"/>
  <c r="N130" i="3"/>
  <c r="N129" i="3"/>
  <c r="N128" i="3"/>
  <c r="N127" i="3"/>
  <c r="N123" i="3"/>
  <c r="N122" i="3"/>
  <c r="N121" i="3"/>
  <c r="N120" i="3"/>
  <c r="N119" i="3"/>
  <c r="N118" i="3"/>
  <c r="N117" i="3"/>
  <c r="N116" i="3"/>
  <c r="N115" i="3"/>
  <c r="N107" i="3"/>
  <c r="N106" i="3"/>
  <c r="N105" i="3"/>
  <c r="N104" i="3"/>
  <c r="N103" i="3"/>
  <c r="N102" i="3"/>
  <c r="N101" i="3"/>
  <c r="N100" i="3"/>
  <c r="N99" i="3"/>
  <c r="N98" i="3"/>
  <c r="N97" i="3"/>
  <c r="N96" i="3"/>
  <c r="N95" i="3"/>
  <c r="N94" i="3"/>
  <c r="N93" i="3"/>
  <c r="N92" i="3"/>
  <c r="N91" i="3"/>
  <c r="N90" i="3"/>
  <c r="N88" i="3"/>
  <c r="N87" i="3"/>
  <c r="N86" i="3"/>
  <c r="N85" i="3"/>
  <c r="N84" i="3"/>
  <c r="N83" i="3"/>
  <c r="N82" i="3"/>
  <c r="N80" i="3"/>
  <c r="N79" i="3"/>
  <c r="N78" i="3"/>
  <c r="N77" i="3"/>
  <c r="N76" i="3"/>
  <c r="N75" i="3"/>
  <c r="N74" i="3"/>
  <c r="N73" i="3"/>
  <c r="N69" i="3"/>
  <c r="N68" i="3"/>
  <c r="N67" i="3"/>
  <c r="N66" i="3"/>
  <c r="N65" i="3"/>
  <c r="N64" i="3"/>
  <c r="N63" i="3"/>
  <c r="N62" i="3"/>
  <c r="N61" i="3"/>
  <c r="N60" i="3"/>
  <c r="N59" i="3"/>
  <c r="N58" i="3"/>
  <c r="N57" i="3"/>
  <c r="N53" i="3"/>
  <c r="N52" i="3"/>
  <c r="N33" i="3"/>
  <c r="N32" i="3"/>
  <c r="N30" i="3"/>
  <c r="N21" i="3"/>
  <c r="N20" i="3"/>
  <c r="N18" i="3"/>
  <c r="M138" i="3"/>
  <c r="M137" i="3"/>
  <c r="M135" i="3"/>
  <c r="M134" i="3"/>
  <c r="M133" i="3"/>
  <c r="M132" i="3"/>
  <c r="M131" i="3"/>
  <c r="M130" i="3"/>
  <c r="M129" i="3"/>
  <c r="M128" i="3"/>
  <c r="M127" i="3"/>
  <c r="M123" i="3"/>
  <c r="M122" i="3"/>
  <c r="M121" i="3"/>
  <c r="M120" i="3"/>
  <c r="M119" i="3"/>
  <c r="M118" i="3"/>
  <c r="M117" i="3"/>
  <c r="M116" i="3"/>
  <c r="M115" i="3"/>
  <c r="M107" i="3"/>
  <c r="M106" i="3"/>
  <c r="M105" i="3"/>
  <c r="M104" i="3"/>
  <c r="M103" i="3"/>
  <c r="M102" i="3"/>
  <c r="M101" i="3"/>
  <c r="M100" i="3"/>
  <c r="M99" i="3"/>
  <c r="M98" i="3"/>
  <c r="M97" i="3"/>
  <c r="M96" i="3"/>
  <c r="M95" i="3"/>
  <c r="M94" i="3"/>
  <c r="M93" i="3"/>
  <c r="M92" i="3"/>
  <c r="M91" i="3"/>
  <c r="M90" i="3"/>
  <c r="M88" i="3"/>
  <c r="M87" i="3"/>
  <c r="M86" i="3"/>
  <c r="M85" i="3"/>
  <c r="M84" i="3"/>
  <c r="M83" i="3"/>
  <c r="M82" i="3"/>
  <c r="M80" i="3"/>
  <c r="M79" i="3"/>
  <c r="M78" i="3"/>
  <c r="M77" i="3"/>
  <c r="M76" i="3"/>
  <c r="M75" i="3"/>
  <c r="M74" i="3"/>
  <c r="M73" i="3"/>
  <c r="M69" i="3"/>
  <c r="M68" i="3"/>
  <c r="M67" i="3"/>
  <c r="M66" i="3"/>
  <c r="M65" i="3"/>
  <c r="M64" i="3"/>
  <c r="M63" i="3"/>
  <c r="M62" i="3"/>
  <c r="M61" i="3"/>
  <c r="M60" i="3"/>
  <c r="M59" i="3"/>
  <c r="M58" i="3"/>
  <c r="M57" i="3"/>
  <c r="M53" i="3"/>
  <c r="M52" i="3"/>
  <c r="M33" i="3"/>
  <c r="M32" i="3"/>
  <c r="M30" i="3"/>
  <c r="M21" i="3"/>
  <c r="M20" i="3"/>
  <c r="M18" i="3"/>
  <c r="L138" i="3"/>
  <c r="L137" i="3"/>
  <c r="L135" i="3"/>
  <c r="L134" i="3"/>
  <c r="L133" i="3"/>
  <c r="L132" i="3"/>
  <c r="L131" i="3"/>
  <c r="L130" i="3"/>
  <c r="L129" i="3"/>
  <c r="L128" i="3"/>
  <c r="L127" i="3"/>
  <c r="L123" i="3"/>
  <c r="L122" i="3"/>
  <c r="L121" i="3"/>
  <c r="L120" i="3"/>
  <c r="L119" i="3"/>
  <c r="L118" i="3"/>
  <c r="L117" i="3"/>
  <c r="L116" i="3"/>
  <c r="L115" i="3"/>
  <c r="L107" i="3"/>
  <c r="L106" i="3"/>
  <c r="L105" i="3"/>
  <c r="L104" i="3"/>
  <c r="L103" i="3"/>
  <c r="L102" i="3"/>
  <c r="L101" i="3"/>
  <c r="L100" i="3"/>
  <c r="L99" i="3"/>
  <c r="L98" i="3"/>
  <c r="L97" i="3"/>
  <c r="L96" i="3"/>
  <c r="L95" i="3"/>
  <c r="L94" i="3"/>
  <c r="L93" i="3"/>
  <c r="L92" i="3"/>
  <c r="L91" i="3"/>
  <c r="L90" i="3"/>
  <c r="L88" i="3"/>
  <c r="L87" i="3"/>
  <c r="L86" i="3"/>
  <c r="L85" i="3"/>
  <c r="L84" i="3"/>
  <c r="L83" i="3"/>
  <c r="L82" i="3"/>
  <c r="L80" i="3"/>
  <c r="L79" i="3"/>
  <c r="L78" i="3"/>
  <c r="L77" i="3"/>
  <c r="L76" i="3"/>
  <c r="L75" i="3"/>
  <c r="L74" i="3"/>
  <c r="L73" i="3"/>
  <c r="L69" i="3"/>
  <c r="L68" i="3"/>
  <c r="L67" i="3"/>
  <c r="L66" i="3"/>
  <c r="L65" i="3"/>
  <c r="L64" i="3"/>
  <c r="L63" i="3"/>
  <c r="L62" i="3"/>
  <c r="L61" i="3"/>
  <c r="L60" i="3"/>
  <c r="L59" i="3"/>
  <c r="L58" i="3"/>
  <c r="L57" i="3"/>
  <c r="L53" i="3"/>
  <c r="L52" i="3"/>
  <c r="L33" i="3"/>
  <c r="L32" i="3"/>
  <c r="L30" i="3"/>
  <c r="L21" i="3"/>
  <c r="L20" i="3"/>
  <c r="L18" i="3"/>
  <c r="K138" i="3"/>
  <c r="K137" i="3"/>
  <c r="K135" i="3"/>
  <c r="K134" i="3"/>
  <c r="K133" i="3"/>
  <c r="K132" i="3"/>
  <c r="K131" i="3"/>
  <c r="K130" i="3"/>
  <c r="K129" i="3"/>
  <c r="K128" i="3"/>
  <c r="K127" i="3"/>
  <c r="K123" i="3"/>
  <c r="K122" i="3"/>
  <c r="K121" i="3"/>
  <c r="K120" i="3"/>
  <c r="K119" i="3"/>
  <c r="K118" i="3"/>
  <c r="K117" i="3"/>
  <c r="K116" i="3"/>
  <c r="K115" i="3"/>
  <c r="K107" i="3"/>
  <c r="K106" i="3"/>
  <c r="K105" i="3"/>
  <c r="K104" i="3"/>
  <c r="K103" i="3"/>
  <c r="K102" i="3"/>
  <c r="K101" i="3"/>
  <c r="K100" i="3"/>
  <c r="K99" i="3"/>
  <c r="K98" i="3"/>
  <c r="K97" i="3"/>
  <c r="K96" i="3"/>
  <c r="K95" i="3"/>
  <c r="K94" i="3"/>
  <c r="K93" i="3"/>
  <c r="K92" i="3"/>
  <c r="K91" i="3"/>
  <c r="K90" i="3"/>
  <c r="K88" i="3"/>
  <c r="K87" i="3"/>
  <c r="K86" i="3"/>
  <c r="K85" i="3"/>
  <c r="K84" i="3"/>
  <c r="K83" i="3"/>
  <c r="K82" i="3"/>
  <c r="K80" i="3"/>
  <c r="K79" i="3"/>
  <c r="K78" i="3"/>
  <c r="K77" i="3"/>
  <c r="K76" i="3"/>
  <c r="K75" i="3"/>
  <c r="K74" i="3"/>
  <c r="K73" i="3"/>
  <c r="K69" i="3"/>
  <c r="K68" i="3"/>
  <c r="K67" i="3"/>
  <c r="K66" i="3"/>
  <c r="K65" i="3"/>
  <c r="K64" i="3"/>
  <c r="K63" i="3"/>
  <c r="K62" i="3"/>
  <c r="K61" i="3"/>
  <c r="K60" i="3"/>
  <c r="K59" i="3"/>
  <c r="K58" i="3"/>
  <c r="K57" i="3"/>
  <c r="K53" i="3"/>
  <c r="K52" i="3"/>
  <c r="K33" i="3"/>
  <c r="K32" i="3"/>
  <c r="K30" i="3"/>
  <c r="K21" i="3"/>
  <c r="K20" i="3"/>
  <c r="K18" i="3"/>
  <c r="J138" i="3"/>
  <c r="J137" i="3"/>
  <c r="J135" i="3"/>
  <c r="J134" i="3"/>
  <c r="J133" i="3"/>
  <c r="J132" i="3"/>
  <c r="J131" i="3"/>
  <c r="J130" i="3"/>
  <c r="J129" i="3"/>
  <c r="J128" i="3"/>
  <c r="J127" i="3"/>
  <c r="J123" i="3"/>
  <c r="J122" i="3"/>
  <c r="J121" i="3"/>
  <c r="J120" i="3"/>
  <c r="J119" i="3"/>
  <c r="J118" i="3"/>
  <c r="J117" i="3"/>
  <c r="J116" i="3"/>
  <c r="J115" i="3"/>
  <c r="J107" i="3"/>
  <c r="J106" i="3"/>
  <c r="J105" i="3"/>
  <c r="J104" i="3"/>
  <c r="J103" i="3"/>
  <c r="J102" i="3"/>
  <c r="J101" i="3"/>
  <c r="J100" i="3"/>
  <c r="J99" i="3"/>
  <c r="J98" i="3"/>
  <c r="J97" i="3"/>
  <c r="J96" i="3"/>
  <c r="J95" i="3"/>
  <c r="J94" i="3"/>
  <c r="J93" i="3"/>
  <c r="J92" i="3"/>
  <c r="J91" i="3"/>
  <c r="J90" i="3"/>
  <c r="J88" i="3"/>
  <c r="J87" i="3"/>
  <c r="J86" i="3"/>
  <c r="J85" i="3"/>
  <c r="J84" i="3"/>
  <c r="J83" i="3"/>
  <c r="J82" i="3"/>
  <c r="J80" i="3"/>
  <c r="J79" i="3"/>
  <c r="J78" i="3"/>
  <c r="J77" i="3"/>
  <c r="J76" i="3"/>
  <c r="J75" i="3"/>
  <c r="J74" i="3"/>
  <c r="J73" i="3"/>
  <c r="J69" i="3"/>
  <c r="J68" i="3"/>
  <c r="J67" i="3"/>
  <c r="J66" i="3"/>
  <c r="J65" i="3"/>
  <c r="J64" i="3"/>
  <c r="J63" i="3"/>
  <c r="J62" i="3"/>
  <c r="J61" i="3"/>
  <c r="J60" i="3"/>
  <c r="J59" i="3"/>
  <c r="J58" i="3"/>
  <c r="J57" i="3"/>
  <c r="J53" i="3"/>
  <c r="J52" i="3"/>
  <c r="J33" i="3"/>
  <c r="J32" i="3"/>
  <c r="J30" i="3"/>
  <c r="J21" i="3"/>
  <c r="J20" i="3"/>
  <c r="J18" i="3"/>
  <c r="I138" i="3"/>
  <c r="I137" i="3"/>
  <c r="I135" i="3"/>
  <c r="I134" i="3"/>
  <c r="I133" i="3"/>
  <c r="I132" i="3"/>
  <c r="I131" i="3"/>
  <c r="I130" i="3"/>
  <c r="I129" i="3"/>
  <c r="I128" i="3"/>
  <c r="I127" i="3"/>
  <c r="I123" i="3"/>
  <c r="I122" i="3"/>
  <c r="I121" i="3"/>
  <c r="I120" i="3"/>
  <c r="I119" i="3"/>
  <c r="I118" i="3"/>
  <c r="I117" i="3"/>
  <c r="I116" i="3"/>
  <c r="I115" i="3"/>
  <c r="I107" i="3"/>
  <c r="I106" i="3"/>
  <c r="I105" i="3"/>
  <c r="I104" i="3"/>
  <c r="I103" i="3"/>
  <c r="I102" i="3"/>
  <c r="I101" i="3"/>
  <c r="I100" i="3"/>
  <c r="I99" i="3"/>
  <c r="I98" i="3"/>
  <c r="I97" i="3"/>
  <c r="I96" i="3"/>
  <c r="I95" i="3"/>
  <c r="I94" i="3"/>
  <c r="I93" i="3"/>
  <c r="I92" i="3"/>
  <c r="I91" i="3"/>
  <c r="I90" i="3"/>
  <c r="I88" i="3"/>
  <c r="I87" i="3"/>
  <c r="I86" i="3"/>
  <c r="I85" i="3"/>
  <c r="I84" i="3"/>
  <c r="I83" i="3"/>
  <c r="I82" i="3"/>
  <c r="I80" i="3"/>
  <c r="I79" i="3"/>
  <c r="I78" i="3"/>
  <c r="I77" i="3"/>
  <c r="I76" i="3"/>
  <c r="I75" i="3"/>
  <c r="I74" i="3"/>
  <c r="I73" i="3"/>
  <c r="I69" i="3"/>
  <c r="I68" i="3"/>
  <c r="I67" i="3"/>
  <c r="I66" i="3"/>
  <c r="I65" i="3"/>
  <c r="I64" i="3"/>
  <c r="I63" i="3"/>
  <c r="I62" i="3"/>
  <c r="I61" i="3"/>
  <c r="I60" i="3"/>
  <c r="I59" i="3"/>
  <c r="I58" i="3"/>
  <c r="I57" i="3"/>
  <c r="I53" i="3"/>
  <c r="I52" i="3"/>
  <c r="I33" i="3"/>
  <c r="I32" i="3"/>
  <c r="I30" i="3"/>
  <c r="I21" i="3"/>
  <c r="I20" i="3"/>
  <c r="I18" i="3"/>
  <c r="H138" i="3"/>
  <c r="H137" i="3"/>
  <c r="H135" i="3"/>
  <c r="H134" i="3"/>
  <c r="H133" i="3"/>
  <c r="H132" i="3"/>
  <c r="H131" i="3"/>
  <c r="H130" i="3"/>
  <c r="H129" i="3"/>
  <c r="H128" i="3"/>
  <c r="H127" i="3"/>
  <c r="H123" i="3"/>
  <c r="H122" i="3"/>
  <c r="H121" i="3"/>
  <c r="H120" i="3"/>
  <c r="H119" i="3"/>
  <c r="H118" i="3"/>
  <c r="H117" i="3"/>
  <c r="H116" i="3"/>
  <c r="H115" i="3"/>
  <c r="H107" i="3"/>
  <c r="H106" i="3"/>
  <c r="H105" i="3"/>
  <c r="H104" i="3"/>
  <c r="H103" i="3"/>
  <c r="H102" i="3"/>
  <c r="H101" i="3"/>
  <c r="H100" i="3"/>
  <c r="H99" i="3"/>
  <c r="H98" i="3"/>
  <c r="H97" i="3"/>
  <c r="H96" i="3"/>
  <c r="H95" i="3"/>
  <c r="H94" i="3"/>
  <c r="H93" i="3"/>
  <c r="H92" i="3"/>
  <c r="H91" i="3"/>
  <c r="H90" i="3"/>
  <c r="H88" i="3"/>
  <c r="H87" i="3"/>
  <c r="H86" i="3"/>
  <c r="H85" i="3"/>
  <c r="H84" i="3"/>
  <c r="H83" i="3"/>
  <c r="H82" i="3"/>
  <c r="H80" i="3"/>
  <c r="H79" i="3"/>
  <c r="H78" i="3"/>
  <c r="H77" i="3"/>
  <c r="H76" i="3"/>
  <c r="H75" i="3"/>
  <c r="H74" i="3"/>
  <c r="H73" i="3"/>
  <c r="H69" i="3"/>
  <c r="H68" i="3"/>
  <c r="H67" i="3"/>
  <c r="H66" i="3"/>
  <c r="H65" i="3"/>
  <c r="H64" i="3"/>
  <c r="H63" i="3"/>
  <c r="H62" i="3"/>
  <c r="H61" i="3"/>
  <c r="H60" i="3"/>
  <c r="H59" i="3"/>
  <c r="H58" i="3"/>
  <c r="H57" i="3"/>
  <c r="H53" i="3"/>
  <c r="H52" i="3"/>
  <c r="H33" i="3"/>
  <c r="H32" i="3"/>
  <c r="H30" i="3"/>
  <c r="H21" i="3"/>
  <c r="H20" i="3"/>
  <c r="H18" i="3"/>
  <c r="G138" i="3"/>
  <c r="G137" i="3"/>
  <c r="G135" i="3"/>
  <c r="G134" i="3"/>
  <c r="G133" i="3"/>
  <c r="G132" i="3"/>
  <c r="G131" i="3"/>
  <c r="G130" i="3"/>
  <c r="G129" i="3"/>
  <c r="G128" i="3"/>
  <c r="G127" i="3"/>
  <c r="G123" i="3"/>
  <c r="G122" i="3"/>
  <c r="G121" i="3"/>
  <c r="G120" i="3"/>
  <c r="G119" i="3"/>
  <c r="G118" i="3"/>
  <c r="G117" i="3"/>
  <c r="G116" i="3"/>
  <c r="G115" i="3"/>
  <c r="G107" i="3"/>
  <c r="G106" i="3"/>
  <c r="G105" i="3"/>
  <c r="G104" i="3"/>
  <c r="G103" i="3"/>
  <c r="G102" i="3"/>
  <c r="G101" i="3"/>
  <c r="G100" i="3"/>
  <c r="G99" i="3"/>
  <c r="G98" i="3"/>
  <c r="G97" i="3"/>
  <c r="G96" i="3"/>
  <c r="G95" i="3"/>
  <c r="G94" i="3"/>
  <c r="G93" i="3"/>
  <c r="G92" i="3"/>
  <c r="G91" i="3"/>
  <c r="G90" i="3"/>
  <c r="G88" i="3"/>
  <c r="G87" i="3"/>
  <c r="G86" i="3"/>
  <c r="G85" i="3"/>
  <c r="G84" i="3"/>
  <c r="G83" i="3"/>
  <c r="G82" i="3"/>
  <c r="G80" i="3"/>
  <c r="G79" i="3"/>
  <c r="G78" i="3"/>
  <c r="G77" i="3"/>
  <c r="G76" i="3"/>
  <c r="G75" i="3"/>
  <c r="G74" i="3"/>
  <c r="G73" i="3"/>
  <c r="G69" i="3"/>
  <c r="G68" i="3"/>
  <c r="G67" i="3"/>
  <c r="G66" i="3"/>
  <c r="G65" i="3"/>
  <c r="G64" i="3"/>
  <c r="G63" i="3"/>
  <c r="G62" i="3"/>
  <c r="G61" i="3"/>
  <c r="G60" i="3"/>
  <c r="G59" i="3"/>
  <c r="G58" i="3"/>
  <c r="G57" i="3"/>
  <c r="G53" i="3"/>
  <c r="G52" i="3"/>
  <c r="G33" i="3"/>
  <c r="G32" i="3"/>
  <c r="G30" i="3"/>
  <c r="G21" i="3"/>
  <c r="G20" i="3"/>
  <c r="G18" i="3"/>
  <c r="F138" i="3"/>
  <c r="F137" i="3"/>
  <c r="F135" i="3"/>
  <c r="F134" i="3"/>
  <c r="F133" i="3"/>
  <c r="F132" i="3"/>
  <c r="F131" i="3"/>
  <c r="F130" i="3"/>
  <c r="F129" i="3"/>
  <c r="F128" i="3"/>
  <c r="F127" i="3"/>
  <c r="F123" i="3"/>
  <c r="F122" i="3"/>
  <c r="F121" i="3"/>
  <c r="F120" i="3"/>
  <c r="F119" i="3"/>
  <c r="F118" i="3"/>
  <c r="F117" i="3"/>
  <c r="F116" i="3"/>
  <c r="F115" i="3"/>
  <c r="F107" i="3"/>
  <c r="F106" i="3"/>
  <c r="F105" i="3"/>
  <c r="F104" i="3"/>
  <c r="F103" i="3"/>
  <c r="F102" i="3"/>
  <c r="F101" i="3"/>
  <c r="F100" i="3"/>
  <c r="F99" i="3"/>
  <c r="F98" i="3"/>
  <c r="F97" i="3"/>
  <c r="F96" i="3"/>
  <c r="F95" i="3"/>
  <c r="F94" i="3"/>
  <c r="F93" i="3"/>
  <c r="F92" i="3"/>
  <c r="F91" i="3"/>
  <c r="F90" i="3"/>
  <c r="F88" i="3"/>
  <c r="F87" i="3"/>
  <c r="F86" i="3"/>
  <c r="F85" i="3"/>
  <c r="F84" i="3"/>
  <c r="F83" i="3"/>
  <c r="F82" i="3"/>
  <c r="F80" i="3"/>
  <c r="F79" i="3"/>
  <c r="F78" i="3"/>
  <c r="F77" i="3"/>
  <c r="F76" i="3"/>
  <c r="F75" i="3"/>
  <c r="F74" i="3"/>
  <c r="F73" i="3"/>
  <c r="F69" i="3"/>
  <c r="F68" i="3"/>
  <c r="F67" i="3"/>
  <c r="F66" i="3"/>
  <c r="F65" i="3"/>
  <c r="F64" i="3"/>
  <c r="F63" i="3"/>
  <c r="F62" i="3"/>
  <c r="F61" i="3"/>
  <c r="F60" i="3"/>
  <c r="F59" i="3"/>
  <c r="F58" i="3"/>
  <c r="F57" i="3"/>
  <c r="F53" i="3"/>
  <c r="F52" i="3"/>
  <c r="F33" i="3"/>
  <c r="F32" i="3"/>
  <c r="F30" i="3"/>
  <c r="F21" i="3"/>
  <c r="F20" i="3"/>
  <c r="F18" i="3"/>
  <c r="E138" i="3"/>
  <c r="E137" i="3"/>
  <c r="E135" i="3"/>
  <c r="E134" i="3"/>
  <c r="E133" i="3"/>
  <c r="E132" i="3"/>
  <c r="E131" i="3"/>
  <c r="E130" i="3"/>
  <c r="E129" i="3"/>
  <c r="E128" i="3"/>
  <c r="E127" i="3"/>
  <c r="E123" i="3"/>
  <c r="E122" i="3"/>
  <c r="E121" i="3"/>
  <c r="E120" i="3"/>
  <c r="E119" i="3"/>
  <c r="E118" i="3"/>
  <c r="E117" i="3"/>
  <c r="E116" i="3"/>
  <c r="E115" i="3"/>
  <c r="E107" i="3"/>
  <c r="E106" i="3"/>
  <c r="E105" i="3"/>
  <c r="E104" i="3"/>
  <c r="E103" i="3"/>
  <c r="E102" i="3"/>
  <c r="E101" i="3"/>
  <c r="E100" i="3"/>
  <c r="E99" i="3"/>
  <c r="E98" i="3"/>
  <c r="E97" i="3"/>
  <c r="E96" i="3"/>
  <c r="E95" i="3"/>
  <c r="E94" i="3"/>
  <c r="E93" i="3"/>
  <c r="E92" i="3"/>
  <c r="E91" i="3"/>
  <c r="E90" i="3"/>
  <c r="E88" i="3"/>
  <c r="E87" i="3"/>
  <c r="E86" i="3"/>
  <c r="E85" i="3"/>
  <c r="E84" i="3"/>
  <c r="E83" i="3"/>
  <c r="E82" i="3"/>
  <c r="E80" i="3"/>
  <c r="E79" i="3"/>
  <c r="E78" i="3"/>
  <c r="E77" i="3"/>
  <c r="E76" i="3"/>
  <c r="E75" i="3"/>
  <c r="E74" i="3"/>
  <c r="E73" i="3"/>
  <c r="E69" i="3"/>
  <c r="E68" i="3"/>
  <c r="E67" i="3"/>
  <c r="E66" i="3"/>
  <c r="E65" i="3"/>
  <c r="E64" i="3"/>
  <c r="E63" i="3"/>
  <c r="E62" i="3"/>
  <c r="E61" i="3"/>
  <c r="E60" i="3"/>
  <c r="E59" i="3"/>
  <c r="E58" i="3"/>
  <c r="E57" i="3"/>
  <c r="E53" i="3"/>
  <c r="E52" i="3"/>
  <c r="E33" i="3"/>
  <c r="E32" i="3"/>
  <c r="E30" i="3"/>
  <c r="E21" i="3"/>
  <c r="E20" i="3"/>
  <c r="E18" i="3"/>
  <c r="J19" i="3"/>
  <c r="E22" i="3" l="1"/>
  <c r="E15" i="3"/>
  <c r="E191" i="3"/>
  <c r="F191" i="3"/>
  <c r="G191" i="3"/>
  <c r="H191" i="3"/>
  <c r="I191" i="3"/>
  <c r="J191" i="3"/>
  <c r="K191" i="3"/>
  <c r="L191" i="3"/>
  <c r="M191" i="3"/>
  <c r="N191" i="3"/>
  <c r="E192" i="3"/>
  <c r="F192" i="3"/>
  <c r="G192" i="3"/>
  <c r="H192" i="3"/>
  <c r="I192" i="3"/>
  <c r="J192" i="3"/>
  <c r="K192" i="3"/>
  <c r="L192" i="3"/>
  <c r="M192" i="3"/>
  <c r="N192" i="3"/>
  <c r="E193" i="3"/>
  <c r="F193" i="3"/>
  <c r="G193" i="3"/>
  <c r="H193" i="3"/>
  <c r="I193" i="3"/>
  <c r="J193" i="3"/>
  <c r="K193" i="3"/>
  <c r="L193" i="3"/>
  <c r="M193" i="3"/>
  <c r="N193" i="3"/>
  <c r="E186" i="3"/>
  <c r="F186" i="3"/>
  <c r="G186" i="3"/>
  <c r="H186" i="3"/>
  <c r="I186" i="3"/>
  <c r="J186" i="3"/>
  <c r="K186" i="3"/>
  <c r="L186" i="3"/>
  <c r="M186" i="3"/>
  <c r="N186" i="3"/>
  <c r="E187" i="3"/>
  <c r="F187" i="3"/>
  <c r="G187" i="3"/>
  <c r="H187" i="3"/>
  <c r="I187" i="3"/>
  <c r="J187" i="3"/>
  <c r="K187" i="3"/>
  <c r="L187" i="3"/>
  <c r="M187" i="3"/>
  <c r="N187" i="3"/>
  <c r="E188" i="3"/>
  <c r="F188" i="3"/>
  <c r="G188" i="3"/>
  <c r="H188" i="3"/>
  <c r="I188" i="3"/>
  <c r="J188" i="3"/>
  <c r="K188" i="3"/>
  <c r="L188" i="3"/>
  <c r="M188" i="3"/>
  <c r="N188" i="3"/>
  <c r="E189" i="3"/>
  <c r="F189" i="3"/>
  <c r="G189" i="3"/>
  <c r="H189" i="3"/>
  <c r="I189" i="3"/>
  <c r="J189" i="3"/>
  <c r="K189" i="3"/>
  <c r="L189" i="3"/>
  <c r="M189" i="3"/>
  <c r="N189" i="3"/>
  <c r="E8" i="3" l="1"/>
  <c r="M198" i="24" l="1"/>
  <c r="L198" i="24"/>
  <c r="K198" i="24"/>
  <c r="J198" i="24"/>
  <c r="I198" i="24"/>
  <c r="H198" i="24"/>
  <c r="G198" i="24"/>
  <c r="F198" i="24"/>
  <c r="E198" i="24"/>
  <c r="D198" i="24"/>
  <c r="M38" i="24"/>
  <c r="L38" i="24"/>
  <c r="K38" i="24"/>
  <c r="J38" i="24"/>
  <c r="I38" i="24"/>
  <c r="H38" i="24"/>
  <c r="G38" i="24"/>
  <c r="F38" i="24"/>
  <c r="E38" i="24"/>
  <c r="D38" i="24"/>
  <c r="AA125" i="24" l="1"/>
  <c r="AA112" i="24" s="1"/>
  <c r="AF125" i="24"/>
  <c r="AF112" i="24" s="1"/>
  <c r="AB125" i="24"/>
  <c r="AB112" i="24" s="1"/>
  <c r="AG125" i="24"/>
  <c r="AG112" i="24" s="1"/>
  <c r="Z125" i="24"/>
  <c r="Z112" i="24" s="1"/>
  <c r="AI125" i="24"/>
  <c r="AI112" i="24" s="1"/>
  <c r="AC125" i="24"/>
  <c r="AC112" i="24" s="1"/>
  <c r="AH125" i="24"/>
  <c r="AH112" i="24" s="1"/>
  <c r="AD125" i="24"/>
  <c r="AD112" i="24" s="1"/>
  <c r="N55" i="3" l="1"/>
  <c r="E55" i="3" l="1"/>
  <c r="E81" i="3"/>
  <c r="E89" i="3"/>
  <c r="L5" i="19"/>
  <c r="G5" i="19"/>
  <c r="M5" i="19"/>
  <c r="O5" i="19"/>
  <c r="N5" i="19"/>
  <c r="H5" i="19"/>
  <c r="E9" i="3"/>
  <c r="J126" i="3"/>
  <c r="N184" i="3" l="1"/>
  <c r="M184" i="3"/>
  <c r="L184" i="3"/>
  <c r="K184" i="3"/>
  <c r="J184" i="3"/>
  <c r="I184" i="3"/>
  <c r="H184" i="3"/>
  <c r="G184" i="3"/>
  <c r="F184" i="3"/>
  <c r="E184" i="3"/>
  <c r="N183" i="3"/>
  <c r="M183" i="3"/>
  <c r="L183" i="3"/>
  <c r="K183" i="3"/>
  <c r="J183" i="3"/>
  <c r="I183" i="3"/>
  <c r="H183" i="3"/>
  <c r="G183" i="3"/>
  <c r="F183" i="3"/>
  <c r="E183" i="3"/>
  <c r="N181" i="3"/>
  <c r="M181" i="3"/>
  <c r="L181" i="3"/>
  <c r="K181" i="3"/>
  <c r="J181" i="3"/>
  <c r="I181" i="3"/>
  <c r="H181" i="3"/>
  <c r="G181" i="3"/>
  <c r="F181" i="3"/>
  <c r="E181" i="3"/>
  <c r="N180" i="3"/>
  <c r="M180" i="3"/>
  <c r="L180" i="3"/>
  <c r="K180" i="3"/>
  <c r="J180" i="3"/>
  <c r="I180" i="3"/>
  <c r="H180" i="3"/>
  <c r="G180" i="3"/>
  <c r="F180" i="3"/>
  <c r="E180" i="3"/>
  <c r="N174" i="3"/>
  <c r="M174" i="3"/>
  <c r="L174" i="3"/>
  <c r="K174" i="3"/>
  <c r="J174" i="3"/>
  <c r="I174" i="3"/>
  <c r="H174" i="3"/>
  <c r="G174" i="3"/>
  <c r="F174" i="3"/>
  <c r="E174" i="3"/>
  <c r="N173" i="3"/>
  <c r="M173" i="3"/>
  <c r="L173" i="3"/>
  <c r="K173" i="3"/>
  <c r="J173" i="3"/>
  <c r="I173" i="3"/>
  <c r="H173" i="3"/>
  <c r="G173" i="3"/>
  <c r="F173" i="3"/>
  <c r="E173" i="3"/>
  <c r="N172" i="3"/>
  <c r="M172" i="3"/>
  <c r="L172" i="3"/>
  <c r="K172" i="3"/>
  <c r="J172" i="3"/>
  <c r="I172" i="3"/>
  <c r="H172" i="3"/>
  <c r="G172" i="3"/>
  <c r="F172" i="3"/>
  <c r="E172" i="3"/>
  <c r="N170" i="3"/>
  <c r="M170" i="3"/>
  <c r="L170" i="3"/>
  <c r="K170" i="3"/>
  <c r="J170" i="3"/>
  <c r="I170" i="3"/>
  <c r="H170" i="3"/>
  <c r="G170" i="3"/>
  <c r="F170" i="3"/>
  <c r="E170" i="3"/>
  <c r="N169" i="3"/>
  <c r="M169" i="3"/>
  <c r="L169" i="3"/>
  <c r="K169" i="3"/>
  <c r="J169" i="3"/>
  <c r="I169" i="3"/>
  <c r="H169" i="3"/>
  <c r="G169" i="3"/>
  <c r="F169" i="3"/>
  <c r="E169" i="3"/>
  <c r="N168" i="3"/>
  <c r="M168" i="3"/>
  <c r="L168" i="3"/>
  <c r="K168" i="3"/>
  <c r="J168" i="3"/>
  <c r="I168" i="3"/>
  <c r="H168" i="3"/>
  <c r="G168" i="3"/>
  <c r="F168" i="3"/>
  <c r="E168" i="3"/>
  <c r="N162" i="3"/>
  <c r="M162" i="3"/>
  <c r="L162" i="3"/>
  <c r="K162" i="3"/>
  <c r="J162" i="3"/>
  <c r="I162" i="3"/>
  <c r="H162" i="3"/>
  <c r="G162" i="3"/>
  <c r="F162" i="3"/>
  <c r="E162" i="3"/>
  <c r="N161" i="3"/>
  <c r="M161" i="3"/>
  <c r="L161" i="3"/>
  <c r="K161" i="3"/>
  <c r="J161" i="3"/>
  <c r="I161" i="3"/>
  <c r="H161" i="3"/>
  <c r="G161" i="3"/>
  <c r="F161" i="3"/>
  <c r="E161" i="3"/>
  <c r="N159" i="3"/>
  <c r="M159" i="3"/>
  <c r="L159" i="3"/>
  <c r="K159" i="3"/>
  <c r="J159" i="3"/>
  <c r="I159" i="3"/>
  <c r="H159" i="3"/>
  <c r="G159" i="3"/>
  <c r="F159" i="3"/>
  <c r="E159" i="3"/>
  <c r="N158" i="3"/>
  <c r="M158" i="3"/>
  <c r="L158" i="3"/>
  <c r="K158" i="3"/>
  <c r="J158" i="3"/>
  <c r="I158" i="3"/>
  <c r="H158" i="3"/>
  <c r="G158" i="3"/>
  <c r="F158" i="3"/>
  <c r="E158" i="3"/>
  <c r="N156" i="3"/>
  <c r="M156" i="3"/>
  <c r="L156" i="3"/>
  <c r="K156" i="3"/>
  <c r="J156" i="3"/>
  <c r="I156" i="3"/>
  <c r="H156" i="3"/>
  <c r="G156" i="3"/>
  <c r="F156" i="3"/>
  <c r="E156" i="3"/>
  <c r="N155" i="3"/>
  <c r="M155" i="3"/>
  <c r="L155" i="3"/>
  <c r="K155" i="3"/>
  <c r="J155" i="3"/>
  <c r="I155" i="3"/>
  <c r="H155" i="3"/>
  <c r="G155" i="3"/>
  <c r="F155" i="3"/>
  <c r="E155" i="3"/>
  <c r="N149" i="3"/>
  <c r="M149" i="3"/>
  <c r="L149" i="3"/>
  <c r="K149" i="3"/>
  <c r="J149" i="3"/>
  <c r="I149" i="3"/>
  <c r="H149" i="3"/>
  <c r="G149" i="3"/>
  <c r="F149" i="3"/>
  <c r="E149" i="3"/>
  <c r="N148" i="3"/>
  <c r="M148" i="3"/>
  <c r="L148" i="3"/>
  <c r="K148" i="3"/>
  <c r="J148" i="3"/>
  <c r="I148" i="3"/>
  <c r="H148" i="3"/>
  <c r="G148" i="3"/>
  <c r="F148" i="3"/>
  <c r="E148" i="3"/>
  <c r="N146" i="3"/>
  <c r="M146" i="3"/>
  <c r="L146" i="3"/>
  <c r="K146" i="3"/>
  <c r="J146" i="3"/>
  <c r="I146" i="3"/>
  <c r="H146" i="3"/>
  <c r="G146" i="3"/>
  <c r="F146" i="3"/>
  <c r="E146" i="3"/>
  <c r="N145" i="3"/>
  <c r="M145" i="3"/>
  <c r="L145" i="3"/>
  <c r="K145" i="3"/>
  <c r="J145" i="3"/>
  <c r="I145" i="3"/>
  <c r="H145" i="3"/>
  <c r="G145" i="3"/>
  <c r="F145" i="3"/>
  <c r="E145" i="3"/>
  <c r="N144" i="3"/>
  <c r="M144" i="3"/>
  <c r="L144" i="3"/>
  <c r="K144" i="3"/>
  <c r="J144" i="3"/>
  <c r="I144" i="3"/>
  <c r="H144" i="3"/>
  <c r="G144" i="3"/>
  <c r="F144" i="3"/>
  <c r="E144" i="3"/>
  <c r="N126" i="3"/>
  <c r="M126" i="3"/>
  <c r="L126" i="3"/>
  <c r="K126" i="3"/>
  <c r="I126" i="3"/>
  <c r="H126" i="3"/>
  <c r="G126" i="3"/>
  <c r="F126" i="3"/>
  <c r="E126" i="3"/>
  <c r="N125" i="3"/>
  <c r="M125" i="3"/>
  <c r="L125" i="3"/>
  <c r="K125" i="3"/>
  <c r="J125" i="3"/>
  <c r="J124" i="3" s="1"/>
  <c r="I125" i="3"/>
  <c r="H125" i="3"/>
  <c r="G125" i="3"/>
  <c r="F125" i="3"/>
  <c r="E125" i="3"/>
  <c r="N114" i="3"/>
  <c r="M114" i="3"/>
  <c r="L114" i="3"/>
  <c r="K114" i="3"/>
  <c r="J114" i="3"/>
  <c r="I114" i="3"/>
  <c r="H114" i="3"/>
  <c r="G114" i="3"/>
  <c r="F114" i="3"/>
  <c r="E114" i="3"/>
  <c r="N113" i="3"/>
  <c r="M113" i="3"/>
  <c r="L113" i="3"/>
  <c r="K113" i="3"/>
  <c r="J113" i="3"/>
  <c r="I113" i="3"/>
  <c r="H113" i="3"/>
  <c r="G113" i="3"/>
  <c r="F113" i="3"/>
  <c r="E113" i="3"/>
  <c r="N72" i="3"/>
  <c r="M72" i="3"/>
  <c r="L72" i="3"/>
  <c r="K72" i="3"/>
  <c r="J72" i="3"/>
  <c r="I72" i="3"/>
  <c r="H72" i="3"/>
  <c r="G72" i="3"/>
  <c r="F72" i="3"/>
  <c r="E72" i="3"/>
  <c r="N71" i="3"/>
  <c r="M71" i="3"/>
  <c r="L71" i="3"/>
  <c r="K71" i="3"/>
  <c r="J71" i="3"/>
  <c r="I71" i="3"/>
  <c r="H71" i="3"/>
  <c r="G71" i="3"/>
  <c r="F71" i="3"/>
  <c r="E71" i="3"/>
  <c r="N56" i="3"/>
  <c r="M56" i="3"/>
  <c r="L56" i="3"/>
  <c r="K56" i="3"/>
  <c r="J56" i="3"/>
  <c r="I56" i="3"/>
  <c r="H56" i="3"/>
  <c r="G56" i="3"/>
  <c r="F56" i="3"/>
  <c r="E56" i="3"/>
  <c r="N54" i="3"/>
  <c r="M54" i="3"/>
  <c r="L54" i="3"/>
  <c r="K54" i="3"/>
  <c r="J54" i="3"/>
  <c r="I54" i="3"/>
  <c r="H54" i="3"/>
  <c r="G54" i="3"/>
  <c r="F54" i="3"/>
  <c r="E54" i="3"/>
  <c r="N51" i="3"/>
  <c r="M51" i="3"/>
  <c r="L51" i="3"/>
  <c r="K51" i="3"/>
  <c r="J51" i="3"/>
  <c r="I51" i="3"/>
  <c r="H51" i="3"/>
  <c r="G51" i="3"/>
  <c r="F51" i="3"/>
  <c r="E51" i="3"/>
  <c r="N50" i="3"/>
  <c r="M50" i="3"/>
  <c r="L50" i="3"/>
  <c r="K50" i="3"/>
  <c r="J50" i="3"/>
  <c r="I50" i="3"/>
  <c r="H50" i="3"/>
  <c r="G50" i="3"/>
  <c r="F50" i="3"/>
  <c r="E50" i="3"/>
  <c r="E49" i="3" s="1"/>
  <c r="N44" i="3"/>
  <c r="M44" i="3"/>
  <c r="L44" i="3"/>
  <c r="K44" i="3"/>
  <c r="J44" i="3"/>
  <c r="I44" i="3"/>
  <c r="H44" i="3"/>
  <c r="G44" i="3"/>
  <c r="F44" i="3"/>
  <c r="E44" i="3"/>
  <c r="N43" i="3"/>
  <c r="M43" i="3"/>
  <c r="L43" i="3"/>
  <c r="K43" i="3"/>
  <c r="J43" i="3"/>
  <c r="I43" i="3"/>
  <c r="H43" i="3"/>
  <c r="G43" i="3"/>
  <c r="F43" i="3"/>
  <c r="E43" i="3"/>
  <c r="N42" i="3"/>
  <c r="M42" i="3"/>
  <c r="L42" i="3"/>
  <c r="K42" i="3"/>
  <c r="J42" i="3"/>
  <c r="I42" i="3"/>
  <c r="H42" i="3"/>
  <c r="G42" i="3"/>
  <c r="F42" i="3"/>
  <c r="E42" i="3"/>
  <c r="N40" i="3"/>
  <c r="M40" i="3"/>
  <c r="L40" i="3"/>
  <c r="K40" i="3"/>
  <c r="J40" i="3"/>
  <c r="I40" i="3"/>
  <c r="H40" i="3"/>
  <c r="G40" i="3"/>
  <c r="F40" i="3"/>
  <c r="E40" i="3"/>
  <c r="N35" i="3"/>
  <c r="M35" i="3"/>
  <c r="L35" i="3"/>
  <c r="K35" i="3"/>
  <c r="J35" i="3"/>
  <c r="I35" i="3"/>
  <c r="H35" i="3"/>
  <c r="G35" i="3"/>
  <c r="F35" i="3"/>
  <c r="E35" i="3"/>
  <c r="N34" i="3"/>
  <c r="M34" i="3"/>
  <c r="L34" i="3"/>
  <c r="K34" i="3"/>
  <c r="J34" i="3"/>
  <c r="I34" i="3"/>
  <c r="H34" i="3"/>
  <c r="G34" i="3"/>
  <c r="F34" i="3"/>
  <c r="E34" i="3"/>
  <c r="N31" i="3"/>
  <c r="M31" i="3"/>
  <c r="L31" i="3"/>
  <c r="K31" i="3"/>
  <c r="J31" i="3"/>
  <c r="I31" i="3"/>
  <c r="H31" i="3"/>
  <c r="G31" i="3"/>
  <c r="F31" i="3"/>
  <c r="E31" i="3"/>
  <c r="N29" i="3"/>
  <c r="M29" i="3"/>
  <c r="L29" i="3"/>
  <c r="K29" i="3"/>
  <c r="J29" i="3"/>
  <c r="I29" i="3"/>
  <c r="H29" i="3"/>
  <c r="G29" i="3"/>
  <c r="F29" i="3"/>
  <c r="E29" i="3"/>
  <c r="N27" i="3"/>
  <c r="M27" i="3"/>
  <c r="L27" i="3"/>
  <c r="K27" i="3"/>
  <c r="J27" i="3"/>
  <c r="I27" i="3"/>
  <c r="H27" i="3"/>
  <c r="G27" i="3"/>
  <c r="F27" i="3"/>
  <c r="E27" i="3"/>
  <c r="N22" i="3"/>
  <c r="M22" i="3"/>
  <c r="L22" i="3"/>
  <c r="K22" i="3"/>
  <c r="J22" i="3"/>
  <c r="I22" i="3"/>
  <c r="H22" i="3"/>
  <c r="G22" i="3"/>
  <c r="F22" i="3"/>
  <c r="N19" i="3"/>
  <c r="M19" i="3"/>
  <c r="L19" i="3"/>
  <c r="K19" i="3"/>
  <c r="I19" i="3"/>
  <c r="H19" i="3"/>
  <c r="G19" i="3"/>
  <c r="F19" i="3"/>
  <c r="E19" i="3"/>
  <c r="E16" i="3" s="1"/>
  <c r="N17" i="3"/>
  <c r="M17" i="3"/>
  <c r="L17" i="3"/>
  <c r="K17" i="3"/>
  <c r="J17" i="3"/>
  <c r="I17" i="3"/>
  <c r="H17" i="3"/>
  <c r="G17" i="3"/>
  <c r="F17" i="3"/>
  <c r="E17" i="3"/>
  <c r="N15" i="3"/>
  <c r="M15" i="3"/>
  <c r="L15" i="3"/>
  <c r="K15" i="3"/>
  <c r="J15" i="3"/>
  <c r="I15" i="3"/>
  <c r="H15" i="3"/>
  <c r="G15" i="3"/>
  <c r="F15" i="3"/>
  <c r="N9" i="3"/>
  <c r="M9" i="3"/>
  <c r="L9" i="3"/>
  <c r="K9" i="3"/>
  <c r="J9" i="3"/>
  <c r="I9" i="3"/>
  <c r="H9" i="3"/>
  <c r="G9" i="3"/>
  <c r="F9" i="3"/>
  <c r="N8" i="3"/>
  <c r="M8" i="3"/>
  <c r="L8" i="3"/>
  <c r="K8" i="3"/>
  <c r="J8" i="3"/>
  <c r="I8" i="3"/>
  <c r="H8" i="3"/>
  <c r="G8" i="3"/>
  <c r="F8" i="3"/>
  <c r="E211" i="6"/>
  <c r="A211" i="6"/>
  <c r="E210" i="6"/>
  <c r="A210" i="6"/>
  <c r="E209" i="6"/>
  <c r="A209" i="6"/>
  <c r="E208" i="6"/>
  <c r="A208" i="6"/>
  <c r="A207" i="6"/>
  <c r="E206" i="6"/>
  <c r="A206" i="6"/>
  <c r="E205" i="6"/>
  <c r="A205" i="6"/>
  <c r="E204" i="6"/>
  <c r="A204" i="6"/>
  <c r="E202" i="6"/>
  <c r="A55" i="6"/>
  <c r="A56" i="6"/>
  <c r="A179" i="6"/>
  <c r="A178" i="6"/>
  <c r="A177" i="6"/>
  <c r="A175" i="6"/>
  <c r="A174" i="6"/>
  <c r="A173" i="6"/>
  <c r="A167" i="6"/>
  <c r="A166" i="6"/>
  <c r="A164" i="6"/>
  <c r="A163" i="6"/>
  <c r="A161" i="6"/>
  <c r="A160" i="6"/>
  <c r="A131" i="6"/>
  <c r="A130" i="6"/>
  <c r="A119" i="6"/>
  <c r="A118" i="6"/>
  <c r="A77" i="6"/>
  <c r="A76" i="6"/>
  <c r="J76" i="6" s="1"/>
  <c r="A61" i="6"/>
  <c r="A48" i="6"/>
  <c r="A47" i="6"/>
  <c r="A34" i="6"/>
  <c r="A22" i="6"/>
  <c r="A15" i="6"/>
  <c r="A14" i="6"/>
  <c r="B184" i="3"/>
  <c r="D184" i="3" s="1"/>
  <c r="B183" i="3"/>
  <c r="D183" i="3" s="1"/>
  <c r="B180" i="3"/>
  <c r="D180" i="3" s="1"/>
  <c r="C174" i="3"/>
  <c r="B174" i="3" s="1"/>
  <c r="D174" i="3" s="1"/>
  <c r="C173" i="3"/>
  <c r="B173" i="3" s="1"/>
  <c r="D173" i="3" s="1"/>
  <c r="C172" i="3"/>
  <c r="B172" i="3" s="1"/>
  <c r="D172" i="3" s="1"/>
  <c r="C171" i="3"/>
  <c r="C170" i="3"/>
  <c r="B170" i="3" s="1"/>
  <c r="D170" i="3" s="1"/>
  <c r="C169" i="3"/>
  <c r="B169" i="3" s="1"/>
  <c r="D169" i="3" s="1"/>
  <c r="C168" i="3"/>
  <c r="B168" i="3" s="1"/>
  <c r="D168" i="3" s="1"/>
  <c r="C167" i="3"/>
  <c r="C162" i="3"/>
  <c r="B162" i="3" s="1"/>
  <c r="D162" i="3" s="1"/>
  <c r="C161" i="3"/>
  <c r="B161" i="3" s="1"/>
  <c r="D161" i="3" s="1"/>
  <c r="C160" i="3"/>
  <c r="C159" i="3"/>
  <c r="B159" i="3" s="1"/>
  <c r="D159" i="3" s="1"/>
  <c r="C158" i="3"/>
  <c r="B158" i="3" s="1"/>
  <c r="D158" i="3" s="1"/>
  <c r="C157" i="3"/>
  <c r="C156" i="3"/>
  <c r="B156" i="3" s="1"/>
  <c r="D156" i="3" s="1"/>
  <c r="C155" i="3"/>
  <c r="B155" i="3" s="1"/>
  <c r="D155" i="3" s="1"/>
  <c r="C154" i="3"/>
  <c r="C149" i="3"/>
  <c r="B149" i="3" s="1"/>
  <c r="D149" i="3" s="1"/>
  <c r="C148" i="3"/>
  <c r="B148" i="3" s="1"/>
  <c r="D148" i="3" s="1"/>
  <c r="C147" i="3"/>
  <c r="C146" i="3"/>
  <c r="B146" i="3" s="1"/>
  <c r="D146" i="3" s="1"/>
  <c r="C145" i="3"/>
  <c r="B145" i="3" s="1"/>
  <c r="D145" i="3" s="1"/>
  <c r="C144" i="3"/>
  <c r="B144" i="3" s="1"/>
  <c r="D144" i="3" s="1"/>
  <c r="C143" i="3"/>
  <c r="B126" i="3"/>
  <c r="B125" i="3"/>
  <c r="B114" i="3"/>
  <c r="D114" i="3" s="1"/>
  <c r="B113" i="3"/>
  <c r="D113" i="3" s="1"/>
  <c r="B72" i="3"/>
  <c r="B71" i="3"/>
  <c r="B56" i="3"/>
  <c r="D56" i="3" s="1"/>
  <c r="B54" i="3"/>
  <c r="D54" i="3" s="1"/>
  <c r="B50" i="3"/>
  <c r="D50" i="3" s="1"/>
  <c r="C44" i="3"/>
  <c r="C43" i="3"/>
  <c r="B43" i="3" s="1"/>
  <c r="D43" i="3" s="1"/>
  <c r="C42" i="3"/>
  <c r="B42" i="3" s="1"/>
  <c r="D42" i="3" s="1"/>
  <c r="C41" i="3"/>
  <c r="C40" i="3"/>
  <c r="C35" i="3"/>
  <c r="C34" i="3"/>
  <c r="B31" i="3"/>
  <c r="D31" i="3" s="1"/>
  <c r="C29" i="3"/>
  <c r="B29" i="3" s="1"/>
  <c r="D29" i="3" s="1"/>
  <c r="C27" i="3"/>
  <c r="C22" i="3"/>
  <c r="C19" i="3"/>
  <c r="B19" i="3" s="1"/>
  <c r="D19" i="3" s="1"/>
  <c r="C17" i="3"/>
  <c r="B17" i="3" s="1"/>
  <c r="C15" i="3"/>
  <c r="C9" i="3"/>
  <c r="C8" i="3"/>
  <c r="C7" i="3"/>
  <c r="A78" i="5"/>
  <c r="A77" i="5"/>
  <c r="A76" i="5"/>
  <c r="A75" i="5"/>
  <c r="A74" i="5"/>
  <c r="A71" i="5"/>
  <c r="A70" i="5"/>
  <c r="A69" i="5"/>
  <c r="A67" i="5"/>
  <c r="A66" i="5"/>
  <c r="A65" i="5"/>
  <c r="A62" i="5"/>
  <c r="A61" i="5"/>
  <c r="A59" i="5"/>
  <c r="A58" i="5"/>
  <c r="A56" i="5"/>
  <c r="A55" i="5"/>
  <c r="A52" i="5"/>
  <c r="A51" i="5"/>
  <c r="A49" i="5"/>
  <c r="A48" i="5"/>
  <c r="A47" i="5"/>
  <c r="A44" i="5"/>
  <c r="A43" i="5"/>
  <c r="A41" i="5"/>
  <c r="A40" i="5"/>
  <c r="A37" i="5"/>
  <c r="A36" i="5"/>
  <c r="A34" i="5"/>
  <c r="A33" i="5"/>
  <c r="A32" i="5"/>
  <c r="A31" i="5"/>
  <c r="A27" i="5"/>
  <c r="A26" i="5"/>
  <c r="A20" i="5"/>
  <c r="A19" i="5"/>
  <c r="A14" i="5"/>
  <c r="A9" i="5"/>
  <c r="A8" i="5"/>
  <c r="N4" i="5"/>
  <c r="M4" i="5"/>
  <c r="L4" i="5"/>
  <c r="K4" i="5"/>
  <c r="J4" i="5"/>
  <c r="I4" i="5"/>
  <c r="H4" i="5"/>
  <c r="G4" i="5"/>
  <c r="F4" i="5"/>
  <c r="E4" i="5"/>
  <c r="B193" i="3"/>
  <c r="B189" i="3"/>
  <c r="B188" i="3"/>
  <c r="B187" i="3"/>
  <c r="B186" i="3"/>
  <c r="B138" i="3"/>
  <c r="B137" i="3"/>
  <c r="B134" i="3"/>
  <c r="B133" i="3"/>
  <c r="B132" i="3"/>
  <c r="B131" i="3"/>
  <c r="B130" i="3"/>
  <c r="B129" i="3"/>
  <c r="B128" i="3"/>
  <c r="B127" i="3"/>
  <c r="B123" i="3"/>
  <c r="B122" i="3"/>
  <c r="B121" i="3"/>
  <c r="B120" i="3"/>
  <c r="B118" i="3"/>
  <c r="B107" i="3"/>
  <c r="B106" i="3"/>
  <c r="B105" i="3"/>
  <c r="B104" i="3"/>
  <c r="B103" i="3"/>
  <c r="B102" i="3"/>
  <c r="B99" i="3"/>
  <c r="B98" i="3"/>
  <c r="B97" i="3"/>
  <c r="B96" i="3"/>
  <c r="B95" i="3"/>
  <c r="B93" i="3"/>
  <c r="B92" i="3"/>
  <c r="B91" i="3"/>
  <c r="B90" i="3"/>
  <c r="B88" i="3"/>
  <c r="B87" i="3"/>
  <c r="B86" i="3"/>
  <c r="B85" i="3"/>
  <c r="B84" i="3"/>
  <c r="B82" i="3"/>
  <c r="B80" i="3"/>
  <c r="B79" i="3"/>
  <c r="B78" i="3"/>
  <c r="B77" i="3"/>
  <c r="B76" i="3"/>
  <c r="B75" i="3"/>
  <c r="B74" i="3"/>
  <c r="B73" i="3"/>
  <c r="B69" i="3"/>
  <c r="B68" i="3"/>
  <c r="B67" i="3"/>
  <c r="B66" i="3"/>
  <c r="B65" i="3"/>
  <c r="B64" i="3"/>
  <c r="B63" i="3"/>
  <c r="B61" i="3"/>
  <c r="B60" i="3"/>
  <c r="B59" i="3"/>
  <c r="B58" i="3"/>
  <c r="B57" i="3"/>
  <c r="B53" i="3"/>
  <c r="B52" i="3"/>
  <c r="B33" i="3"/>
  <c r="B32" i="3"/>
  <c r="B30" i="3"/>
  <c r="B21" i="3"/>
  <c r="B20" i="3"/>
  <c r="B18" i="3"/>
  <c r="M136" i="3"/>
  <c r="K136" i="3"/>
  <c r="B192" i="3"/>
  <c r="B191" i="3"/>
  <c r="B190" i="3"/>
  <c r="B185" i="3"/>
  <c r="L182" i="3"/>
  <c r="D182" i="3"/>
  <c r="B181" i="3"/>
  <c r="D181" i="3" s="1"/>
  <c r="D179" i="3"/>
  <c r="D171" i="3"/>
  <c r="D167" i="3"/>
  <c r="L160" i="3"/>
  <c r="D160" i="3"/>
  <c r="L157" i="3"/>
  <c r="D157" i="3"/>
  <c r="D154" i="3"/>
  <c r="D147" i="3"/>
  <c r="D143" i="3"/>
  <c r="B136" i="3"/>
  <c r="B135" i="3"/>
  <c r="B119" i="3"/>
  <c r="B117" i="3"/>
  <c r="B116" i="3"/>
  <c r="B115" i="3"/>
  <c r="D112" i="3"/>
  <c r="B101" i="3"/>
  <c r="B100" i="3"/>
  <c r="B94" i="3"/>
  <c r="B89" i="3"/>
  <c r="B83" i="3"/>
  <c r="B81" i="3"/>
  <c r="D70" i="3"/>
  <c r="B62" i="3"/>
  <c r="B55" i="3"/>
  <c r="B51" i="3"/>
  <c r="D51" i="3" s="1"/>
  <c r="D49" i="3"/>
  <c r="D44" i="3"/>
  <c r="D41" i="3"/>
  <c r="D40" i="3"/>
  <c r="D34" i="3"/>
  <c r="D28" i="3"/>
  <c r="D27" i="3"/>
  <c r="D22" i="3"/>
  <c r="D16" i="3"/>
  <c r="D15" i="3"/>
  <c r="D9" i="3"/>
  <c r="D13" i="24" s="1"/>
  <c r="D8" i="3"/>
  <c r="D12" i="24" s="1"/>
  <c r="D7" i="3"/>
  <c r="J13" i="6" s="1"/>
  <c r="F150" i="6" l="1"/>
  <c r="D24" i="24"/>
  <c r="D21" i="24"/>
  <c r="D23" i="24"/>
  <c r="H27" i="6"/>
  <c r="D22" i="24"/>
  <c r="D18" i="24"/>
  <c r="E18" i="24"/>
  <c r="D11" i="24"/>
  <c r="D10" i="24" s="1"/>
  <c r="H179" i="3"/>
  <c r="J70" i="3"/>
  <c r="N112" i="3"/>
  <c r="F124" i="3"/>
  <c r="I154" i="3"/>
  <c r="I7" i="3"/>
  <c r="I5" i="3" s="1"/>
  <c r="G7" i="3"/>
  <c r="G5" i="3" s="1"/>
  <c r="K70" i="3"/>
  <c r="G124" i="3"/>
  <c r="J154" i="3"/>
  <c r="H154" i="3"/>
  <c r="E112" i="3"/>
  <c r="H112" i="3"/>
  <c r="G70" i="3"/>
  <c r="K112" i="3"/>
  <c r="I18" i="24"/>
  <c r="G18" i="24"/>
  <c r="L18" i="24"/>
  <c r="K18" i="24"/>
  <c r="M18" i="24"/>
  <c r="F18" i="24"/>
  <c r="C18" i="24"/>
  <c r="J18" i="24"/>
  <c r="H18" i="24"/>
  <c r="C19" i="24"/>
  <c r="L70" i="3"/>
  <c r="H124" i="3"/>
  <c r="I12" i="24"/>
  <c r="M12" i="24"/>
  <c r="G12" i="24"/>
  <c r="K12" i="24"/>
  <c r="H12" i="24"/>
  <c r="L12" i="24"/>
  <c r="J12" i="24"/>
  <c r="F12" i="24"/>
  <c r="E12" i="24"/>
  <c r="C12" i="24"/>
  <c r="F13" i="24"/>
  <c r="G13" i="24"/>
  <c r="L13" i="24"/>
  <c r="J13" i="24"/>
  <c r="M13" i="24"/>
  <c r="K13" i="24"/>
  <c r="I13" i="24"/>
  <c r="C13" i="24"/>
  <c r="E13" i="24"/>
  <c r="H13" i="24"/>
  <c r="M70" i="3"/>
  <c r="I124" i="3"/>
  <c r="N70" i="3"/>
  <c r="F112" i="3"/>
  <c r="E182" i="3"/>
  <c r="M192" i="24"/>
  <c r="M171" i="24"/>
  <c r="M146" i="24"/>
  <c r="M128" i="24"/>
  <c r="M115" i="24"/>
  <c r="M98" i="24"/>
  <c r="M190" i="24"/>
  <c r="M170" i="24"/>
  <c r="M145" i="24"/>
  <c r="M127" i="24"/>
  <c r="M114" i="24"/>
  <c r="M97" i="24"/>
  <c r="M187" i="24"/>
  <c r="M162" i="24"/>
  <c r="M136" i="24"/>
  <c r="M123" i="24"/>
  <c r="M106" i="24"/>
  <c r="M94" i="24"/>
  <c r="M80" i="24"/>
  <c r="M67" i="24"/>
  <c r="M54" i="24"/>
  <c r="M32" i="24"/>
  <c r="L193" i="24"/>
  <c r="L173" i="24"/>
  <c r="L147" i="24"/>
  <c r="L129" i="24"/>
  <c r="L116" i="24"/>
  <c r="L99" i="24"/>
  <c r="L86" i="24"/>
  <c r="L73" i="24"/>
  <c r="L60" i="24"/>
  <c r="L37" i="24"/>
  <c r="K184" i="24"/>
  <c r="K159" i="24"/>
  <c r="K134" i="24"/>
  <c r="K121" i="24"/>
  <c r="K104" i="24"/>
  <c r="K92" i="24"/>
  <c r="K78" i="24"/>
  <c r="K65" i="24"/>
  <c r="K52" i="24"/>
  <c r="K25" i="24"/>
  <c r="J190" i="24"/>
  <c r="J170" i="24"/>
  <c r="J145" i="24"/>
  <c r="J127" i="24"/>
  <c r="J114" i="24"/>
  <c r="J97" i="24"/>
  <c r="J84" i="24"/>
  <c r="J70" i="24"/>
  <c r="M174" i="24"/>
  <c r="M138" i="24"/>
  <c r="M120" i="24"/>
  <c r="M100" i="24"/>
  <c r="M84" i="24"/>
  <c r="M69" i="24"/>
  <c r="M55" i="24"/>
  <c r="M30" i="24"/>
  <c r="L190" i="24"/>
  <c r="L169" i="24"/>
  <c r="L138" i="24"/>
  <c r="L123" i="24"/>
  <c r="L105" i="24"/>
  <c r="L92" i="24"/>
  <c r="L77" i="24"/>
  <c r="L63" i="24"/>
  <c r="L44" i="24"/>
  <c r="L21" i="24"/>
  <c r="K182" i="24"/>
  <c r="K156" i="24"/>
  <c r="K131" i="24"/>
  <c r="K117" i="24"/>
  <c r="K99" i="24"/>
  <c r="K85" i="24"/>
  <c r="K70" i="24"/>
  <c r="K56" i="24"/>
  <c r="K33" i="24"/>
  <c r="J193" i="24"/>
  <c r="J171" i="24"/>
  <c r="J139" i="24"/>
  <c r="J124" i="24"/>
  <c r="J106" i="24"/>
  <c r="J93" i="24"/>
  <c r="J78" i="24"/>
  <c r="J64" i="24"/>
  <c r="J46" i="24"/>
  <c r="J24" i="24"/>
  <c r="I189" i="24"/>
  <c r="I169" i="24"/>
  <c r="I139" i="24"/>
  <c r="I126" i="24"/>
  <c r="I108" i="24"/>
  <c r="I96" i="24"/>
  <c r="I83" i="24"/>
  <c r="I69" i="24"/>
  <c r="I56" i="24"/>
  <c r="I34" i="24"/>
  <c r="H175" i="24"/>
  <c r="H150" i="24"/>
  <c r="H131" i="24"/>
  <c r="H118" i="24"/>
  <c r="H101" i="24"/>
  <c r="H88" i="24"/>
  <c r="H75" i="24"/>
  <c r="H62" i="24"/>
  <c r="H44" i="24"/>
  <c r="H22" i="24"/>
  <c r="G187" i="24"/>
  <c r="G162" i="24"/>
  <c r="G136" i="24"/>
  <c r="G123" i="24"/>
  <c r="G106" i="24"/>
  <c r="G94" i="24"/>
  <c r="G80" i="24"/>
  <c r="G67" i="24"/>
  <c r="G54" i="24"/>
  <c r="G32" i="24"/>
  <c r="F193" i="24"/>
  <c r="F173" i="24"/>
  <c r="F147" i="24"/>
  <c r="F129" i="24"/>
  <c r="M173" i="24"/>
  <c r="M135" i="24"/>
  <c r="M119" i="24"/>
  <c r="M99" i="24"/>
  <c r="M83" i="24"/>
  <c r="M68" i="24"/>
  <c r="M53" i="24"/>
  <c r="M25" i="24"/>
  <c r="L189" i="24"/>
  <c r="M163" i="24"/>
  <c r="M131" i="24"/>
  <c r="M105" i="24"/>
  <c r="M87" i="24"/>
  <c r="M70" i="24"/>
  <c r="M46" i="24"/>
  <c r="M21" i="24"/>
  <c r="L181" i="24"/>
  <c r="L149" i="24"/>
  <c r="L127" i="24"/>
  <c r="L107" i="24"/>
  <c r="L93" i="24"/>
  <c r="L76" i="24"/>
  <c r="L61" i="24"/>
  <c r="L35" i="24"/>
  <c r="K194" i="24"/>
  <c r="K171" i="24"/>
  <c r="K139" i="24"/>
  <c r="K123" i="24"/>
  <c r="K103" i="24"/>
  <c r="K88" i="24"/>
  <c r="K73" i="24"/>
  <c r="K58" i="24"/>
  <c r="K32" i="24"/>
  <c r="J189" i="24"/>
  <c r="J162" i="24"/>
  <c r="J134" i="24"/>
  <c r="J119" i="24"/>
  <c r="J100" i="24"/>
  <c r="J85" i="24"/>
  <c r="J68" i="24"/>
  <c r="J54" i="24"/>
  <c r="J30" i="24"/>
  <c r="I190" i="24"/>
  <c r="I163" i="24"/>
  <c r="I136" i="24"/>
  <c r="I122" i="24"/>
  <c r="I104" i="24"/>
  <c r="I91" i="24"/>
  <c r="I76" i="24"/>
  <c r="I62" i="24"/>
  <c r="I42" i="24"/>
  <c r="H182" i="24"/>
  <c r="H156" i="24"/>
  <c r="H130" i="24"/>
  <c r="H116" i="24"/>
  <c r="H98" i="24"/>
  <c r="H84" i="24"/>
  <c r="H69" i="24"/>
  <c r="H55" i="24"/>
  <c r="H32" i="24"/>
  <c r="G192" i="24"/>
  <c r="G170" i="24"/>
  <c r="G139" i="24"/>
  <c r="G124" i="24"/>
  <c r="G105" i="24"/>
  <c r="G92" i="24"/>
  <c r="G77" i="24"/>
  <c r="G63" i="24"/>
  <c r="G44" i="24"/>
  <c r="G21" i="24"/>
  <c r="F184" i="24"/>
  <c r="F157" i="24"/>
  <c r="F132" i="24"/>
  <c r="F118" i="24"/>
  <c r="F101" i="24"/>
  <c r="F88" i="24"/>
  <c r="F75" i="24"/>
  <c r="F62" i="24"/>
  <c r="F44" i="24"/>
  <c r="F22" i="24"/>
  <c r="E187" i="24"/>
  <c r="E162" i="24"/>
  <c r="E136" i="24"/>
  <c r="E123" i="24"/>
  <c r="E106" i="24"/>
  <c r="E94" i="24"/>
  <c r="E80" i="24"/>
  <c r="E67" i="24"/>
  <c r="E54" i="24"/>
  <c r="E32" i="24"/>
  <c r="D193" i="24"/>
  <c r="D173" i="24"/>
  <c r="D147" i="24"/>
  <c r="D129" i="24"/>
  <c r="D116" i="24"/>
  <c r="D99" i="24"/>
  <c r="D86" i="24"/>
  <c r="D73" i="24"/>
  <c r="D60" i="24"/>
  <c r="D37" i="24"/>
  <c r="V194" i="24"/>
  <c r="W193" i="24"/>
  <c r="V192" i="24"/>
  <c r="U191" i="24"/>
  <c r="T190" i="24"/>
  <c r="S189" i="24"/>
  <c r="R188" i="24"/>
  <c r="Q187" i="24"/>
  <c r="P186" i="24"/>
  <c r="O185" i="24"/>
  <c r="C182" i="24"/>
  <c r="C169" i="24"/>
  <c r="C147" i="24"/>
  <c r="R138" i="24"/>
  <c r="Q137" i="24"/>
  <c r="AA136" i="24"/>
  <c r="C136" i="24"/>
  <c r="W135" i="24"/>
  <c r="AG134" i="24"/>
  <c r="T134" i="24"/>
  <c r="AD133" i="24"/>
  <c r="Q133" i="24"/>
  <c r="AA132" i="24"/>
  <c r="C132" i="24"/>
  <c r="W131" i="24"/>
  <c r="AG130" i="24"/>
  <c r="T130" i="24"/>
  <c r="AD129" i="24"/>
  <c r="Q129" i="24"/>
  <c r="AA128" i="24"/>
  <c r="C128" i="24"/>
  <c r="X126" i="24"/>
  <c r="X124" i="24"/>
  <c r="W123" i="24"/>
  <c r="V122" i="24"/>
  <c r="U121" i="24"/>
  <c r="T120" i="24"/>
  <c r="S119" i="24"/>
  <c r="R118" i="24"/>
  <c r="Q117" i="24"/>
  <c r="P116" i="24"/>
  <c r="O115" i="24"/>
  <c r="C114" i="24"/>
  <c r="C108" i="24"/>
  <c r="X106" i="24"/>
  <c r="W105" i="24"/>
  <c r="V104" i="24"/>
  <c r="U103" i="24"/>
  <c r="T102" i="24"/>
  <c r="S101" i="24"/>
  <c r="R100" i="24"/>
  <c r="Q99" i="24"/>
  <c r="P98" i="24"/>
  <c r="O97" i="24"/>
  <c r="C96" i="24"/>
  <c r="X94" i="24"/>
  <c r="W93" i="24"/>
  <c r="V92" i="24"/>
  <c r="U91" i="24"/>
  <c r="U89" i="24"/>
  <c r="U82" i="24" s="1"/>
  <c r="T88" i="24"/>
  <c r="S87" i="24"/>
  <c r="R86" i="24"/>
  <c r="Q85" i="24"/>
  <c r="P84" i="24"/>
  <c r="Q83" i="24"/>
  <c r="AA81" i="24"/>
  <c r="Z80" i="24"/>
  <c r="C79" i="24"/>
  <c r="AI77" i="24"/>
  <c r="AH76" i="24"/>
  <c r="AG75" i="24"/>
  <c r="AF74" i="24"/>
  <c r="S74" i="24"/>
  <c r="AC73" i="24"/>
  <c r="P73" i="24"/>
  <c r="O72" i="24"/>
  <c r="C71" i="24"/>
  <c r="X69" i="24"/>
  <c r="W68" i="24"/>
  <c r="V67" i="24"/>
  <c r="U66" i="24"/>
  <c r="T65" i="24"/>
  <c r="S64" i="24"/>
  <c r="R63" i="24"/>
  <c r="Q62" i="24"/>
  <c r="P61" i="24"/>
  <c r="O60" i="24"/>
  <c r="O57" i="24" s="1"/>
  <c r="C59" i="24"/>
  <c r="C57" i="24"/>
  <c r="S46" i="24"/>
  <c r="S41" i="24" s="1"/>
  <c r="U37" i="24"/>
  <c r="T36" i="24"/>
  <c r="U33" i="24"/>
  <c r="U31" i="24" s="1"/>
  <c r="W25" i="24"/>
  <c r="V24" i="24"/>
  <c r="U23" i="24"/>
  <c r="T22" i="24"/>
  <c r="S21" i="24"/>
  <c r="M160" i="24"/>
  <c r="M130" i="24"/>
  <c r="M104" i="24"/>
  <c r="M86" i="24"/>
  <c r="M66" i="24"/>
  <c r="M45" i="24"/>
  <c r="L175" i="24"/>
  <c r="L146" i="24"/>
  <c r="L126" i="24"/>
  <c r="L106" i="24"/>
  <c r="L91" i="24"/>
  <c r="L75" i="24"/>
  <c r="L59" i="24"/>
  <c r="L34" i="24"/>
  <c r="K193" i="24"/>
  <c r="K170" i="24"/>
  <c r="K138" i="24"/>
  <c r="K122" i="24"/>
  <c r="K102" i="24"/>
  <c r="K87" i="24"/>
  <c r="K71" i="24"/>
  <c r="K55" i="24"/>
  <c r="K30" i="24"/>
  <c r="J188" i="24"/>
  <c r="J160" i="24"/>
  <c r="J133" i="24"/>
  <c r="J118" i="24"/>
  <c r="J99" i="24"/>
  <c r="J83" i="24"/>
  <c r="J67" i="24"/>
  <c r="J53" i="24"/>
  <c r="J25" i="24"/>
  <c r="I188" i="24"/>
  <c r="I162" i="24"/>
  <c r="I135" i="24"/>
  <c r="I121" i="24"/>
  <c r="I103" i="24"/>
  <c r="I89" i="24"/>
  <c r="I75" i="24"/>
  <c r="I61" i="24"/>
  <c r="I37" i="24"/>
  <c r="H181" i="24"/>
  <c r="H149" i="24"/>
  <c r="H129" i="24"/>
  <c r="H115" i="24"/>
  <c r="H97" i="24"/>
  <c r="H83" i="24"/>
  <c r="H68" i="24"/>
  <c r="H54" i="24"/>
  <c r="H30" i="24"/>
  <c r="G190" i="24"/>
  <c r="G169" i="24"/>
  <c r="G138" i="24"/>
  <c r="G122" i="24"/>
  <c r="G104" i="24"/>
  <c r="G91" i="24"/>
  <c r="G76" i="24"/>
  <c r="G62" i="24"/>
  <c r="G42" i="24"/>
  <c r="F182" i="24"/>
  <c r="F156" i="24"/>
  <c r="F131" i="24"/>
  <c r="F117" i="24"/>
  <c r="F100" i="24"/>
  <c r="F87" i="24"/>
  <c r="F74" i="24"/>
  <c r="F61" i="24"/>
  <c r="F42" i="24"/>
  <c r="F21" i="24"/>
  <c r="E185" i="24"/>
  <c r="E160" i="24"/>
  <c r="E135" i="24"/>
  <c r="E122" i="24"/>
  <c r="E93" i="24"/>
  <c r="E79" i="24"/>
  <c r="E66" i="24"/>
  <c r="E53" i="24"/>
  <c r="E30" i="24"/>
  <c r="D192" i="24"/>
  <c r="M189" i="24"/>
  <c r="M156" i="24"/>
  <c r="M124" i="24"/>
  <c r="M101" i="24"/>
  <c r="M79" i="24"/>
  <c r="M63" i="24"/>
  <c r="M37" i="24"/>
  <c r="L170" i="24"/>
  <c r="L136" i="24"/>
  <c r="L121" i="24"/>
  <c r="L102" i="24"/>
  <c r="L87" i="24"/>
  <c r="L70" i="24"/>
  <c r="L55" i="24"/>
  <c r="L30" i="24"/>
  <c r="K189" i="24"/>
  <c r="K162" i="24"/>
  <c r="K133" i="24"/>
  <c r="K118" i="24"/>
  <c r="K98" i="24"/>
  <c r="K83" i="24"/>
  <c r="K67" i="24"/>
  <c r="K46" i="24"/>
  <c r="K22" i="24"/>
  <c r="J184" i="24"/>
  <c r="J156" i="24"/>
  <c r="J130" i="24"/>
  <c r="J115" i="24"/>
  <c r="J95" i="24"/>
  <c r="J79" i="24"/>
  <c r="J63" i="24"/>
  <c r="J44" i="24"/>
  <c r="J21" i="24"/>
  <c r="I184" i="24"/>
  <c r="I157" i="24"/>
  <c r="I132" i="24"/>
  <c r="I118" i="24"/>
  <c r="I100" i="24"/>
  <c r="I86" i="24"/>
  <c r="I71" i="24"/>
  <c r="I58" i="24"/>
  <c r="I33" i="24"/>
  <c r="H193" i="24"/>
  <c r="H171" i="24"/>
  <c r="H145" i="24"/>
  <c r="H126" i="24"/>
  <c r="H107" i="24"/>
  <c r="H94" i="24"/>
  <c r="H79" i="24"/>
  <c r="H65" i="24"/>
  <c r="H46" i="24"/>
  <c r="H23" i="24"/>
  <c r="G185" i="24"/>
  <c r="G159" i="24"/>
  <c r="G133" i="24"/>
  <c r="G119" i="24"/>
  <c r="G101" i="24"/>
  <c r="G87" i="24"/>
  <c r="G73" i="24"/>
  <c r="G59" i="24"/>
  <c r="G35" i="24"/>
  <c r="F174" i="24"/>
  <c r="F146" i="24"/>
  <c r="F127" i="24"/>
  <c r="F114" i="24"/>
  <c r="F97" i="24"/>
  <c r="F84" i="24"/>
  <c r="F70" i="24"/>
  <c r="F58" i="24"/>
  <c r="F35" i="24"/>
  <c r="E181" i="24"/>
  <c r="E156" i="24"/>
  <c r="E132" i="24"/>
  <c r="E119" i="24"/>
  <c r="E102" i="24"/>
  <c r="E89" i="24"/>
  <c r="E76" i="24"/>
  <c r="E63" i="24"/>
  <c r="E45" i="24"/>
  <c r="E23" i="24"/>
  <c r="D188" i="24"/>
  <c r="D163" i="24"/>
  <c r="D138" i="24"/>
  <c r="D124" i="24"/>
  <c r="D107" i="24"/>
  <c r="D95" i="24"/>
  <c r="D81" i="24"/>
  <c r="D68" i="24"/>
  <c r="D55" i="24"/>
  <c r="D33" i="24"/>
  <c r="R194" i="24"/>
  <c r="S193" i="24"/>
  <c r="R192" i="24"/>
  <c r="Q191" i="24"/>
  <c r="P190" i="24"/>
  <c r="O189" i="24"/>
  <c r="C188" i="24"/>
  <c r="X186" i="24"/>
  <c r="W185" i="24"/>
  <c r="V184" i="24"/>
  <c r="V183" i="24"/>
  <c r="V182" i="24"/>
  <c r="C180" i="24"/>
  <c r="C138" i="24"/>
  <c r="AI136" i="24"/>
  <c r="V136" i="24"/>
  <c r="AF135" i="24"/>
  <c r="S135" i="24"/>
  <c r="AC134" i="24"/>
  <c r="P134" i="24"/>
  <c r="Z133" i="24"/>
  <c r="AI132" i="24"/>
  <c r="V132" i="24"/>
  <c r="AF131" i="24"/>
  <c r="S131" i="24"/>
  <c r="AC130" i="24"/>
  <c r="P130" i="24"/>
  <c r="Z129" i="24"/>
  <c r="AI128" i="24"/>
  <c r="V128" i="24"/>
  <c r="U127" i="24"/>
  <c r="T126" i="24"/>
  <c r="T124" i="24"/>
  <c r="S123" i="24"/>
  <c r="R122" i="24"/>
  <c r="Q121" i="24"/>
  <c r="P120" i="24"/>
  <c r="O119" i="24"/>
  <c r="C118" i="24"/>
  <c r="X116" i="24"/>
  <c r="W115" i="24"/>
  <c r="V114" i="24"/>
  <c r="V108" i="24"/>
  <c r="U107" i="24"/>
  <c r="T106" i="24"/>
  <c r="S105" i="24"/>
  <c r="R104" i="24"/>
  <c r="Q103" i="24"/>
  <c r="P102" i="24"/>
  <c r="O101" i="24"/>
  <c r="C100" i="24"/>
  <c r="X98" i="24"/>
  <c r="W97" i="24"/>
  <c r="V96" i="24"/>
  <c r="U95" i="24"/>
  <c r="T94" i="24"/>
  <c r="S93" i="24"/>
  <c r="R92" i="24"/>
  <c r="Q91" i="24"/>
  <c r="Q89" i="24"/>
  <c r="Q82" i="24" s="1"/>
  <c r="P88" i="24"/>
  <c r="O87" i="24"/>
  <c r="C86" i="24"/>
  <c r="X84" i="24"/>
  <c r="C84" i="24"/>
  <c r="AI81" i="24"/>
  <c r="AH80" i="24"/>
  <c r="AG79" i="24"/>
  <c r="AF78" i="24"/>
  <c r="AE77" i="24"/>
  <c r="AD76" i="24"/>
  <c r="AC75" i="24"/>
  <c r="AB74" i="24"/>
  <c r="O74" i="24"/>
  <c r="X73" i="24"/>
  <c r="W72" i="24"/>
  <c r="V71" i="24"/>
  <c r="U70" i="24"/>
  <c r="T69" i="24"/>
  <c r="S68" i="24"/>
  <c r="R67" i="24"/>
  <c r="Q66" i="24"/>
  <c r="P65" i="24"/>
  <c r="O64" i="24"/>
  <c r="C63" i="24"/>
  <c r="X61" i="24"/>
  <c r="W60" i="24"/>
  <c r="W57" i="24" s="1"/>
  <c r="V59" i="24"/>
  <c r="U58" i="24"/>
  <c r="C53" i="24"/>
  <c r="O46" i="24"/>
  <c r="O41" i="24" s="1"/>
  <c r="Q37" i="24"/>
  <c r="P36" i="24"/>
  <c r="Q33" i="24"/>
  <c r="Q31" i="24" s="1"/>
  <c r="S25" i="24"/>
  <c r="R24" i="24"/>
  <c r="Q23" i="24"/>
  <c r="P22" i="24"/>
  <c r="O21" i="24"/>
  <c r="M181" i="24"/>
  <c r="M129" i="24"/>
  <c r="M95" i="24"/>
  <c r="M74" i="24"/>
  <c r="M44" i="24"/>
  <c r="L192" i="24"/>
  <c r="L157" i="24"/>
  <c r="L124" i="24"/>
  <c r="L100" i="24"/>
  <c r="L80" i="24"/>
  <c r="L58" i="24"/>
  <c r="L24" i="24"/>
  <c r="K175" i="24"/>
  <c r="K136" i="24"/>
  <c r="K115" i="24"/>
  <c r="K93" i="24"/>
  <c r="K69" i="24"/>
  <c r="K44" i="24"/>
  <c r="J159" i="24"/>
  <c r="J128" i="24"/>
  <c r="J103" i="24"/>
  <c r="J81" i="24"/>
  <c r="J61" i="24"/>
  <c r="J34" i="24"/>
  <c r="I187" i="24"/>
  <c r="I150" i="24"/>
  <c r="I127" i="24"/>
  <c r="I102" i="24"/>
  <c r="I84" i="24"/>
  <c r="I65" i="24"/>
  <c r="I36" i="24"/>
  <c r="H190" i="24"/>
  <c r="H160" i="24"/>
  <c r="H128" i="24"/>
  <c r="H105" i="24"/>
  <c r="H87" i="24"/>
  <c r="H67" i="24"/>
  <c r="H42" i="24"/>
  <c r="G163" i="24"/>
  <c r="G131" i="24"/>
  <c r="G114" i="24"/>
  <c r="G89" i="24"/>
  <c r="G70" i="24"/>
  <c r="G52" i="24"/>
  <c r="F170" i="24"/>
  <c r="F135" i="24"/>
  <c r="F116" i="24"/>
  <c r="F95" i="24"/>
  <c r="F78" i="24"/>
  <c r="F60" i="24"/>
  <c r="F33" i="24"/>
  <c r="E190" i="24"/>
  <c r="E159" i="24"/>
  <c r="E130" i="24"/>
  <c r="E114" i="24"/>
  <c r="E95" i="24"/>
  <c r="E75" i="24"/>
  <c r="E59" i="24"/>
  <c r="E33" i="24"/>
  <c r="D187" i="24"/>
  <c r="D159" i="24"/>
  <c r="D132" i="24"/>
  <c r="D117" i="24"/>
  <c r="D97" i="24"/>
  <c r="D80" i="24"/>
  <c r="D65" i="24"/>
  <c r="D45" i="24"/>
  <c r="U194" i="24"/>
  <c r="T193" i="24"/>
  <c r="P192" i="24"/>
  <c r="X190" i="24"/>
  <c r="U189" i="24"/>
  <c r="Q188" i="24"/>
  <c r="C187" i="24"/>
  <c r="U185" i="24"/>
  <c r="R184" i="24"/>
  <c r="Q183" i="24"/>
  <c r="P182" i="24"/>
  <c r="C157" i="24"/>
  <c r="C145" i="24"/>
  <c r="O138" i="24"/>
  <c r="AG136" i="24"/>
  <c r="R136" i="24"/>
  <c r="Z135" i="24"/>
  <c r="AF134" i="24"/>
  <c r="Q134" i="24"/>
  <c r="W133" i="24"/>
  <c r="AE132" i="24"/>
  <c r="P132" i="24"/>
  <c r="V131" i="24"/>
  <c r="AD130" i="24"/>
  <c r="C130" i="24"/>
  <c r="U129" i="24"/>
  <c r="AC128" i="24"/>
  <c r="X127" i="24"/>
  <c r="U126" i="24"/>
  <c r="R124" i="24"/>
  <c r="O123" i="24"/>
  <c r="M175" i="24"/>
  <c r="M126" i="24"/>
  <c r="M93" i="24"/>
  <c r="M73" i="24"/>
  <c r="M42" i="24"/>
  <c r="L188" i="24"/>
  <c r="L156" i="24"/>
  <c r="L122" i="24"/>
  <c r="L98" i="24"/>
  <c r="L79" i="24"/>
  <c r="L56" i="24"/>
  <c r="L23" i="24"/>
  <c r="K174" i="24"/>
  <c r="K135" i="24"/>
  <c r="K114" i="24"/>
  <c r="K91" i="24"/>
  <c r="K68" i="24"/>
  <c r="K42" i="24"/>
  <c r="J194" i="24"/>
  <c r="J157" i="24"/>
  <c r="J126" i="24"/>
  <c r="J102" i="24"/>
  <c r="J80" i="24"/>
  <c r="J60" i="24"/>
  <c r="J33" i="24"/>
  <c r="I185" i="24"/>
  <c r="I149" i="24"/>
  <c r="I124" i="24"/>
  <c r="I101" i="24"/>
  <c r="I81" i="24"/>
  <c r="I64" i="24"/>
  <c r="I35" i="24"/>
  <c r="H189" i="24"/>
  <c r="H159" i="24"/>
  <c r="H127" i="24"/>
  <c r="H104" i="24"/>
  <c r="H86" i="24"/>
  <c r="H66" i="24"/>
  <c r="H37" i="24"/>
  <c r="G194" i="24"/>
  <c r="G160" i="24"/>
  <c r="G130" i="24"/>
  <c r="G108" i="24"/>
  <c r="G88" i="24"/>
  <c r="G69" i="24"/>
  <c r="G46" i="24"/>
  <c r="F169" i="24"/>
  <c r="F134" i="24"/>
  <c r="F115" i="24"/>
  <c r="F94" i="24"/>
  <c r="F77" i="24"/>
  <c r="F59" i="24"/>
  <c r="F32" i="24"/>
  <c r="E189" i="24"/>
  <c r="E157" i="24"/>
  <c r="E129" i="24"/>
  <c r="E108" i="24"/>
  <c r="E92" i="24"/>
  <c r="E74" i="24"/>
  <c r="E58" i="24"/>
  <c r="E25" i="24"/>
  <c r="D185" i="24"/>
  <c r="D157" i="24"/>
  <c r="D131" i="24"/>
  <c r="D115" i="24"/>
  <c r="D96" i="24"/>
  <c r="D79" i="24"/>
  <c r="D64" i="24"/>
  <c r="D44" i="24"/>
  <c r="T194" i="24"/>
  <c r="R193" i="24"/>
  <c r="O192" i="24"/>
  <c r="W190" i="24"/>
  <c r="T189" i="24"/>
  <c r="P188" i="24"/>
  <c r="W186" i="24"/>
  <c r="T185" i="24"/>
  <c r="Q184" i="24"/>
  <c r="P183" i="24"/>
  <c r="O182" i="24"/>
  <c r="C168" i="24"/>
  <c r="C144" i="24"/>
  <c r="X137" i="24"/>
  <c r="AF136" i="24"/>
  <c r="Q136" i="24"/>
  <c r="X135" i="24"/>
  <c r="AE134" i="24"/>
  <c r="O134" i="24"/>
  <c r="V133" i="24"/>
  <c r="AD132" i="24"/>
  <c r="O132" i="24"/>
  <c r="U131" i="24"/>
  <c r="AB130" i="24"/>
  <c r="AI129" i="24"/>
  <c r="T129" i="24"/>
  <c r="AB128" i="24"/>
  <c r="W127" i="24"/>
  <c r="S126" i="24"/>
  <c r="Q124" i="24"/>
  <c r="C123" i="24"/>
  <c r="V121" i="24"/>
  <c r="R120" i="24"/>
  <c r="C119" i="24"/>
  <c r="V117" i="24"/>
  <c r="S116" i="24"/>
  <c r="P115" i="24"/>
  <c r="X108" i="24"/>
  <c r="T107" i="24"/>
  <c r="Q106" i="24"/>
  <c r="C105" i="24"/>
  <c r="V103" i="24"/>
  <c r="R102" i="24"/>
  <c r="C101" i="24"/>
  <c r="V99" i="24"/>
  <c r="S98" i="24"/>
  <c r="P97" i="24"/>
  <c r="W95" i="24"/>
  <c r="S94" i="24"/>
  <c r="P93" i="24"/>
  <c r="M157" i="24"/>
  <c r="M118" i="24"/>
  <c r="M89" i="24"/>
  <c r="M64" i="24"/>
  <c r="M34" i="24"/>
  <c r="L184" i="24"/>
  <c r="L139" i="24"/>
  <c r="L118" i="24"/>
  <c r="L95" i="24"/>
  <c r="L71" i="24"/>
  <c r="L52" i="24"/>
  <c r="K163" i="24"/>
  <c r="K129" i="24"/>
  <c r="K106" i="24"/>
  <c r="K84" i="24"/>
  <c r="K63" i="24"/>
  <c r="K35" i="24"/>
  <c r="J185" i="24"/>
  <c r="J147" i="24"/>
  <c r="J121" i="24"/>
  <c r="J96" i="24"/>
  <c r="J75" i="24"/>
  <c r="J56" i="24"/>
  <c r="J22" i="24"/>
  <c r="I175" i="24"/>
  <c r="I145" i="24"/>
  <c r="I119" i="24"/>
  <c r="I97" i="24"/>
  <c r="I78" i="24"/>
  <c r="I59" i="24"/>
  <c r="I25" i="24"/>
  <c r="H185" i="24"/>
  <c r="H146" i="24"/>
  <c r="H122" i="24"/>
  <c r="H100" i="24"/>
  <c r="H80" i="24"/>
  <c r="H61" i="24"/>
  <c r="H34" i="24"/>
  <c r="G188" i="24"/>
  <c r="G150" i="24"/>
  <c r="G127" i="24"/>
  <c r="G102" i="24"/>
  <c r="G84" i="24"/>
  <c r="G65" i="24"/>
  <c r="G36" i="24"/>
  <c r="F190" i="24"/>
  <c r="F160" i="24"/>
  <c r="F128" i="24"/>
  <c r="F106" i="24"/>
  <c r="F91" i="24"/>
  <c r="F71" i="24"/>
  <c r="F54" i="24"/>
  <c r="M147" i="24"/>
  <c r="M102" i="24"/>
  <c r="M65" i="24"/>
  <c r="M23" i="24"/>
  <c r="L160" i="24"/>
  <c r="L119" i="24"/>
  <c r="L88" i="24"/>
  <c r="L64" i="24"/>
  <c r="K150" i="24"/>
  <c r="K119" i="24"/>
  <c r="K86" i="24"/>
  <c r="K60" i="24"/>
  <c r="J149" i="24"/>
  <c r="J116" i="24"/>
  <c r="J87" i="24"/>
  <c r="J58" i="24"/>
  <c r="I159" i="24"/>
  <c r="I120" i="24"/>
  <c r="I93" i="24"/>
  <c r="I67" i="24"/>
  <c r="I30" i="24"/>
  <c r="H173" i="24"/>
  <c r="H133" i="24"/>
  <c r="H102" i="24"/>
  <c r="H76" i="24"/>
  <c r="H52" i="24"/>
  <c r="G189" i="24"/>
  <c r="G146" i="24"/>
  <c r="G116" i="24"/>
  <c r="G85" i="24"/>
  <c r="G60" i="24"/>
  <c r="G23" i="24"/>
  <c r="F162" i="24"/>
  <c r="F123" i="24"/>
  <c r="F98" i="24"/>
  <c r="F73" i="24"/>
  <c r="F46" i="24"/>
  <c r="E194" i="24"/>
  <c r="E163" i="24"/>
  <c r="E127" i="24"/>
  <c r="E103" i="24"/>
  <c r="E84" i="24"/>
  <c r="E62" i="24"/>
  <c r="E34" i="24"/>
  <c r="D182" i="24"/>
  <c r="D146" i="24"/>
  <c r="D122" i="24"/>
  <c r="D101" i="24"/>
  <c r="D83" i="24"/>
  <c r="D62" i="24"/>
  <c r="D34" i="24"/>
  <c r="X193" i="24"/>
  <c r="Q192" i="24"/>
  <c r="U190" i="24"/>
  <c r="C189" i="24"/>
  <c r="T187" i="24"/>
  <c r="C186" i="24"/>
  <c r="S184" i="24"/>
  <c r="C175" i="24"/>
  <c r="C161" i="24"/>
  <c r="C150" i="24"/>
  <c r="S138" i="24"/>
  <c r="AH136" i="24"/>
  <c r="O136" i="24"/>
  <c r="R135" i="24"/>
  <c r="W134" i="24"/>
  <c r="AB133" i="24"/>
  <c r="AF132" i="24"/>
  <c r="AH131" i="24"/>
  <c r="P131" i="24"/>
  <c r="U130" i="24"/>
  <c r="X129" i="24"/>
  <c r="AD128" i="24"/>
  <c r="T127" i="24"/>
  <c r="O126" i="24"/>
  <c r="U123" i="24"/>
  <c r="O122" i="24"/>
  <c r="V120" i="24"/>
  <c r="Q119" i="24"/>
  <c r="W117" i="24"/>
  <c r="R116" i="24"/>
  <c r="X114" i="24"/>
  <c r="T108" i="24"/>
  <c r="P107" i="24"/>
  <c r="V105" i="24"/>
  <c r="Q104" i="24"/>
  <c r="X102" i="24"/>
  <c r="T101" i="24"/>
  <c r="O100" i="24"/>
  <c r="U98" i="24"/>
  <c r="Q97" i="24"/>
  <c r="V95" i="24"/>
  <c r="Q94" i="24"/>
  <c r="X92" i="24"/>
  <c r="T91" i="24"/>
  <c r="R89" i="24"/>
  <c r="R82" i="24" s="1"/>
  <c r="C88" i="24"/>
  <c r="V86" i="24"/>
  <c r="S85" i="24"/>
  <c r="O84" i="24"/>
  <c r="C83" i="24"/>
  <c r="AF80" i="24"/>
  <c r="AC79" i="24"/>
  <c r="Z78" i="24"/>
  <c r="AG76" i="24"/>
  <c r="AD75" i="24"/>
  <c r="Z74" i="24"/>
  <c r="AG73" i="24"/>
  <c r="R73" i="24"/>
  <c r="C72" i="24"/>
  <c r="V70" i="24"/>
  <c r="R69" i="24"/>
  <c r="O68" i="24"/>
  <c r="W66" i="24"/>
  <c r="S65" i="24"/>
  <c r="P64" i="24"/>
  <c r="W62" i="24"/>
  <c r="T61" i="24"/>
  <c r="Q60" i="24"/>
  <c r="Q57" i="24" s="1"/>
  <c r="X58" i="24"/>
  <c r="C54" i="24"/>
  <c r="C45" i="24"/>
  <c r="X36" i="24"/>
  <c r="W33" i="24"/>
  <c r="W31" i="24" s="1"/>
  <c r="V25" i="24"/>
  <c r="S24" i="24"/>
  <c r="O23" i="24"/>
  <c r="W21" i="24"/>
  <c r="P184" i="24"/>
  <c r="C174" i="24"/>
  <c r="AE136" i="24"/>
  <c r="AI135" i="24"/>
  <c r="V134" i="24"/>
  <c r="AA133" i="24"/>
  <c r="AG131" i="24"/>
  <c r="S130" i="24"/>
  <c r="Z128" i="24"/>
  <c r="C126" i="24"/>
  <c r="C122" i="24"/>
  <c r="U120" i="24"/>
  <c r="U117" i="24"/>
  <c r="W114" i="24"/>
  <c r="O107" i="24"/>
  <c r="P104" i="24"/>
  <c r="R101" i="24"/>
  <c r="T98" i="24"/>
  <c r="T95" i="24"/>
  <c r="P94" i="24"/>
  <c r="S91" i="24"/>
  <c r="X87" i="24"/>
  <c r="R85" i="24"/>
  <c r="AE80" i="24"/>
  <c r="C78" i="24"/>
  <c r="AB75" i="24"/>
  <c r="AF73" i="24"/>
  <c r="X71" i="24"/>
  <c r="Q69" i="24"/>
  <c r="V66" i="24"/>
  <c r="C64" i="24"/>
  <c r="S61" i="24"/>
  <c r="W58" i="24"/>
  <c r="C44" i="24"/>
  <c r="W36" i="24"/>
  <c r="V33" i="24"/>
  <c r="V31" i="24" s="1"/>
  <c r="U25" i="24"/>
  <c r="C23" i="24"/>
  <c r="V21" i="24"/>
  <c r="M194" i="24"/>
  <c r="M92" i="24"/>
  <c r="M61" i="24"/>
  <c r="L150" i="24"/>
  <c r="L115" i="24"/>
  <c r="L54" i="24"/>
  <c r="K147" i="24"/>
  <c r="K80" i="24"/>
  <c r="J192" i="24"/>
  <c r="J107" i="24"/>
  <c r="J52" i="24"/>
  <c r="I147" i="24"/>
  <c r="I88" i="24"/>
  <c r="I23" i="24"/>
  <c r="H124" i="24"/>
  <c r="H73" i="24"/>
  <c r="H36" i="24"/>
  <c r="G135" i="24"/>
  <c r="G81" i="24"/>
  <c r="F194" i="24"/>
  <c r="F121" i="24"/>
  <c r="F68" i="24"/>
  <c r="F37" i="24"/>
  <c r="E149" i="24"/>
  <c r="E100" i="24"/>
  <c r="E60" i="24"/>
  <c r="D175" i="24"/>
  <c r="D120" i="24"/>
  <c r="D77" i="24"/>
  <c r="U193" i="24"/>
  <c r="R190" i="24"/>
  <c r="R187" i="24"/>
  <c r="O184" i="24"/>
  <c r="C149" i="24"/>
  <c r="AD136" i="24"/>
  <c r="AH135" i="24"/>
  <c r="U134" i="24"/>
  <c r="AB132" i="24"/>
  <c r="C131" i="24"/>
  <c r="V129" i="24"/>
  <c r="R127" i="24"/>
  <c r="R123" i="24"/>
  <c r="X121" i="24"/>
  <c r="X118" i="24"/>
  <c r="O116" i="24"/>
  <c r="R108" i="24"/>
  <c r="T105" i="24"/>
  <c r="V102" i="24"/>
  <c r="W99" i="24"/>
  <c r="X96" i="24"/>
  <c r="O94" i="24"/>
  <c r="R91" i="24"/>
  <c r="W87" i="24"/>
  <c r="P85" i="24"/>
  <c r="AG81" i="24"/>
  <c r="AD80" i="24"/>
  <c r="AH77" i="24"/>
  <c r="AA75" i="24"/>
  <c r="AE73" i="24"/>
  <c r="W71" i="24"/>
  <c r="P69" i="24"/>
  <c r="T66" i="24"/>
  <c r="X63" i="24"/>
  <c r="R61" i="24"/>
  <c r="V58" i="24"/>
  <c r="C43" i="24"/>
  <c r="C38" i="24"/>
  <c r="T33" i="24"/>
  <c r="T31" i="24" s="1"/>
  <c r="P24" i="24"/>
  <c r="U21" i="24"/>
  <c r="M193" i="24"/>
  <c r="M91" i="24"/>
  <c r="L114" i="24"/>
  <c r="L53" i="24"/>
  <c r="K146" i="24"/>
  <c r="K79" i="24"/>
  <c r="J187" i="24"/>
  <c r="J105" i="24"/>
  <c r="J45" i="24"/>
  <c r="I146" i="24"/>
  <c r="I87" i="24"/>
  <c r="I22" i="24"/>
  <c r="H123" i="24"/>
  <c r="H71" i="24"/>
  <c r="G181" i="24"/>
  <c r="G103" i="24"/>
  <c r="G55" i="24"/>
  <c r="F149" i="24"/>
  <c r="F92" i="24"/>
  <c r="F36" i="24"/>
  <c r="E147" i="24"/>
  <c r="E99" i="24"/>
  <c r="E56" i="24"/>
  <c r="D174" i="24"/>
  <c r="D119" i="24"/>
  <c r="D94" i="24"/>
  <c r="D58" i="24"/>
  <c r="X194" i="24"/>
  <c r="M139" i="24"/>
  <c r="M96" i="24"/>
  <c r="M62" i="24"/>
  <c r="M22" i="24"/>
  <c r="L159" i="24"/>
  <c r="L117" i="24"/>
  <c r="L85" i="24"/>
  <c r="L62" i="24"/>
  <c r="K149" i="24"/>
  <c r="K116" i="24"/>
  <c r="K81" i="24"/>
  <c r="K59" i="24"/>
  <c r="J146" i="24"/>
  <c r="J108" i="24"/>
  <c r="J86" i="24"/>
  <c r="J55" i="24"/>
  <c r="I156" i="24"/>
  <c r="I117" i="24"/>
  <c r="I92" i="24"/>
  <c r="I66" i="24"/>
  <c r="I24" i="24"/>
  <c r="H170" i="24"/>
  <c r="H132" i="24"/>
  <c r="H99" i="24"/>
  <c r="H74" i="24"/>
  <c r="H45" i="24"/>
  <c r="G184" i="24"/>
  <c r="G145" i="24"/>
  <c r="G115" i="24"/>
  <c r="G83" i="24"/>
  <c r="G58" i="24"/>
  <c r="G22" i="24"/>
  <c r="F159" i="24"/>
  <c r="F122" i="24"/>
  <c r="F96" i="24"/>
  <c r="F69" i="24"/>
  <c r="F45" i="24"/>
  <c r="E193" i="24"/>
  <c r="E150" i="24"/>
  <c r="E126" i="24"/>
  <c r="E101" i="24"/>
  <c r="E83" i="24"/>
  <c r="E61" i="24"/>
  <c r="E24" i="24"/>
  <c r="D181" i="24"/>
  <c r="D145" i="24"/>
  <c r="D121" i="24"/>
  <c r="D100" i="24"/>
  <c r="D78" i="24"/>
  <c r="D61" i="24"/>
  <c r="D32" i="24"/>
  <c r="V193" i="24"/>
  <c r="C192" i="24"/>
  <c r="S190" i="24"/>
  <c r="X188" i="24"/>
  <c r="S187" i="24"/>
  <c r="X185" i="24"/>
  <c r="C183" i="24"/>
  <c r="C160" i="24"/>
  <c r="Q138" i="24"/>
  <c r="Q135" i="24"/>
  <c r="AC132" i="24"/>
  <c r="O131" i="24"/>
  <c r="W129" i="24"/>
  <c r="S127" i="24"/>
  <c r="T123" i="24"/>
  <c r="P119" i="24"/>
  <c r="Q116" i="24"/>
  <c r="S108" i="24"/>
  <c r="U105" i="24"/>
  <c r="W102" i="24"/>
  <c r="X99" i="24"/>
  <c r="C97" i="24"/>
  <c r="W92" i="24"/>
  <c r="P89" i="24"/>
  <c r="P82" i="24" s="1"/>
  <c r="U86" i="24"/>
  <c r="AH81" i="24"/>
  <c r="AB79" i="24"/>
  <c r="AF76" i="24"/>
  <c r="X74" i="24"/>
  <c r="Q73" i="24"/>
  <c r="T70" i="24"/>
  <c r="C68" i="24"/>
  <c r="R65" i="24"/>
  <c r="V62" i="24"/>
  <c r="P60" i="24"/>
  <c r="P57" i="24" s="1"/>
  <c r="C52" i="24"/>
  <c r="Q24" i="24"/>
  <c r="M134" i="24"/>
  <c r="L84" i="24"/>
  <c r="K192" i="24"/>
  <c r="K108" i="24"/>
  <c r="K54" i="24"/>
  <c r="J138" i="24"/>
  <c r="J77" i="24"/>
  <c r="I194" i="24"/>
  <c r="I116" i="24"/>
  <c r="I63" i="24"/>
  <c r="H169" i="24"/>
  <c r="H96" i="24"/>
  <c r="G182" i="24"/>
  <c r="G107" i="24"/>
  <c r="G56" i="24"/>
  <c r="F150" i="24"/>
  <c r="F93" i="24"/>
  <c r="E192" i="24"/>
  <c r="E124" i="24"/>
  <c r="E81" i="24"/>
  <c r="E22" i="24"/>
  <c r="D139" i="24"/>
  <c r="D98" i="24"/>
  <c r="D59" i="24"/>
  <c r="D30" i="24"/>
  <c r="X191" i="24"/>
  <c r="W188" i="24"/>
  <c r="V185" i="24"/>
  <c r="X182" i="24"/>
  <c r="P138" i="24"/>
  <c r="P135" i="24"/>
  <c r="X133" i="24"/>
  <c r="AE131" i="24"/>
  <c r="R130" i="24"/>
  <c r="X128" i="24"/>
  <c r="C125" i="24"/>
  <c r="S120" i="24"/>
  <c r="T117" i="24"/>
  <c r="U114" i="24"/>
  <c r="C107" i="24"/>
  <c r="O104" i="24"/>
  <c r="Q101" i="24"/>
  <c r="R98" i="24"/>
  <c r="S95" i="24"/>
  <c r="U92" i="24"/>
  <c r="O89" i="24"/>
  <c r="O82" i="24" s="1"/>
  <c r="T86" i="24"/>
  <c r="AA79" i="24"/>
  <c r="AE76" i="24"/>
  <c r="W74" i="24"/>
  <c r="O73" i="24"/>
  <c r="S70" i="24"/>
  <c r="X67" i="24"/>
  <c r="Q65" i="24"/>
  <c r="U62" i="24"/>
  <c r="C60" i="24"/>
  <c r="C51" i="24"/>
  <c r="V36" i="24"/>
  <c r="T25" i="24"/>
  <c r="X22" i="24"/>
  <c r="M133" i="24"/>
  <c r="M60" i="24"/>
  <c r="L145" i="24"/>
  <c r="L83" i="24"/>
  <c r="K190" i="24"/>
  <c r="K107" i="24"/>
  <c r="K53" i="24"/>
  <c r="J136" i="24"/>
  <c r="J76" i="24"/>
  <c r="I193" i="24"/>
  <c r="I115" i="24"/>
  <c r="I60" i="24"/>
  <c r="H163" i="24"/>
  <c r="H95" i="24"/>
  <c r="H35" i="24"/>
  <c r="G134" i="24"/>
  <c r="G79" i="24"/>
  <c r="F192" i="24"/>
  <c r="F120" i="24"/>
  <c r="F67" i="24"/>
  <c r="E188" i="24"/>
  <c r="E121" i="24"/>
  <c r="E78" i="24"/>
  <c r="E21" i="24"/>
  <c r="D136" i="24"/>
  <c r="D76" i="24"/>
  <c r="D25" i="24"/>
  <c r="Q193" i="24"/>
  <c r="M188" i="24"/>
  <c r="M132" i="24"/>
  <c r="M88" i="24"/>
  <c r="M59" i="24"/>
  <c r="L194" i="24"/>
  <c r="L135" i="24"/>
  <c r="L108" i="24"/>
  <c r="L81" i="24"/>
  <c r="L46" i="24"/>
  <c r="K188" i="24"/>
  <c r="K145" i="24"/>
  <c r="K105" i="24"/>
  <c r="K77" i="24"/>
  <c r="K45" i="24"/>
  <c r="J182" i="24"/>
  <c r="J135" i="24"/>
  <c r="J104" i="24"/>
  <c r="J74" i="24"/>
  <c r="J42" i="24"/>
  <c r="I192" i="24"/>
  <c r="I138" i="24"/>
  <c r="I114" i="24"/>
  <c r="I85" i="24"/>
  <c r="I55" i="24"/>
  <c r="I21" i="24"/>
  <c r="H162" i="24"/>
  <c r="H121" i="24"/>
  <c r="H93" i="24"/>
  <c r="H70" i="24"/>
  <c r="H33" i="24"/>
  <c r="G175" i="24"/>
  <c r="G132" i="24"/>
  <c r="G100" i="24"/>
  <c r="G78" i="24"/>
  <c r="G53" i="24"/>
  <c r="F189" i="24"/>
  <c r="F145" i="24"/>
  <c r="F119" i="24"/>
  <c r="F89" i="24"/>
  <c r="F66" i="24"/>
  <c r="F34" i="24"/>
  <c r="E184" i="24"/>
  <c r="E146" i="24"/>
  <c r="E120" i="24"/>
  <c r="E98" i="24"/>
  <c r="E77" i="24"/>
  <c r="E55" i="24"/>
  <c r="D171" i="24"/>
  <c r="D135" i="24"/>
  <c r="D118" i="24"/>
  <c r="D93" i="24"/>
  <c r="D75" i="24"/>
  <c r="D56" i="24"/>
  <c r="W194" i="24"/>
  <c r="P193" i="24"/>
  <c r="V191" i="24"/>
  <c r="O190" i="24"/>
  <c r="U188" i="24"/>
  <c r="O187" i="24"/>
  <c r="R185" i="24"/>
  <c r="C184" i="24"/>
  <c r="U182" i="24"/>
  <c r="C172" i="24"/>
  <c r="C158" i="24"/>
  <c r="C146" i="24"/>
  <c r="V137" i="24"/>
  <c r="AB136" i="24"/>
  <c r="AE135" i="24"/>
  <c r="C135" i="24"/>
  <c r="R134" i="24"/>
  <c r="T133" i="24"/>
  <c r="X132" i="24"/>
  <c r="AC131" i="24"/>
  <c r="AH130" i="24"/>
  <c r="O130" i="24"/>
  <c r="R129" i="24"/>
  <c r="U128" i="24"/>
  <c r="P127" i="24"/>
  <c r="V124" i="24"/>
  <c r="P123" i="24"/>
  <c r="T121" i="24"/>
  <c r="O120" i="24"/>
  <c r="V118" i="24"/>
  <c r="R117" i="24"/>
  <c r="X115" i="24"/>
  <c r="S114" i="24"/>
  <c r="P108" i="24"/>
  <c r="V106" i="24"/>
  <c r="Q105" i="24"/>
  <c r="X103" i="24"/>
  <c r="S102" i="24"/>
  <c r="X100" i="24"/>
  <c r="T99" i="24"/>
  <c r="O98" i="24"/>
  <c r="U96" i="24"/>
  <c r="Q95" i="24"/>
  <c r="X93" i="24"/>
  <c r="S92" i="24"/>
  <c r="O91" i="24"/>
  <c r="X88" i="24"/>
  <c r="U87" i="24"/>
  <c r="Q86" i="24"/>
  <c r="C85" i="24"/>
  <c r="W83" i="24"/>
  <c r="AE81" i="24"/>
  <c r="AB80" i="24"/>
  <c r="AI78" i="24"/>
  <c r="AF77" i="24"/>
  <c r="AB76" i="24"/>
  <c r="C75" i="24"/>
  <c r="U74" i="24"/>
  <c r="AB73" i="24"/>
  <c r="X72" i="24"/>
  <c r="T71" i="24"/>
  <c r="Q70" i="24"/>
  <c r="C69" i="24"/>
  <c r="U67" i="24"/>
  <c r="R66" i="24"/>
  <c r="C65" i="24"/>
  <c r="V63" i="24"/>
  <c r="S62" i="24"/>
  <c r="O61" i="24"/>
  <c r="W59" i="24"/>
  <c r="S58" i="24"/>
  <c r="W46" i="24"/>
  <c r="W41" i="24" s="1"/>
  <c r="W37" i="24"/>
  <c r="S36" i="24"/>
  <c r="R33" i="24"/>
  <c r="R31" i="24" s="1"/>
  <c r="Q25" i="24"/>
  <c r="C24" i="24"/>
  <c r="V22" i="24"/>
  <c r="R21" i="24"/>
  <c r="M185" i="24"/>
  <c r="M122" i="24"/>
  <c r="M85" i="24"/>
  <c r="M58" i="24"/>
  <c r="L187" i="24"/>
  <c r="L134" i="24"/>
  <c r="L104" i="24"/>
  <c r="L78" i="24"/>
  <c r="L45" i="24"/>
  <c r="K187" i="24"/>
  <c r="K132" i="24"/>
  <c r="K101" i="24"/>
  <c r="K76" i="24"/>
  <c r="K37" i="24"/>
  <c r="J181" i="24"/>
  <c r="J132" i="24"/>
  <c r="J101" i="24"/>
  <c r="J73" i="24"/>
  <c r="J37" i="24"/>
  <c r="I182" i="24"/>
  <c r="I134" i="24"/>
  <c r="I107" i="24"/>
  <c r="I80" i="24"/>
  <c r="I54" i="24"/>
  <c r="H157" i="24"/>
  <c r="H120" i="24"/>
  <c r="H92" i="24"/>
  <c r="H64" i="24"/>
  <c r="H25" i="24"/>
  <c r="G174" i="24"/>
  <c r="G129" i="24"/>
  <c r="G99" i="24"/>
  <c r="G75" i="24"/>
  <c r="G45" i="24"/>
  <c r="F188" i="24"/>
  <c r="F139" i="24"/>
  <c r="F108" i="24"/>
  <c r="F86" i="24"/>
  <c r="F65" i="24"/>
  <c r="F30" i="24"/>
  <c r="E182" i="24"/>
  <c r="E145" i="24"/>
  <c r="E118" i="24"/>
  <c r="E97" i="24"/>
  <c r="E73" i="24"/>
  <c r="E52" i="24"/>
  <c r="D170" i="24"/>
  <c r="D134" i="24"/>
  <c r="D114" i="24"/>
  <c r="D92" i="24"/>
  <c r="D74" i="24"/>
  <c r="D54" i="24"/>
  <c r="S194" i="24"/>
  <c r="O193" i="24"/>
  <c r="T191" i="24"/>
  <c r="C190" i="24"/>
  <c r="T188" i="24"/>
  <c r="V186" i="24"/>
  <c r="Q185" i="24"/>
  <c r="X183" i="24"/>
  <c r="T182" i="24"/>
  <c r="C171" i="24"/>
  <c r="U137" i="24"/>
  <c r="Z136" i="24"/>
  <c r="AD135" i="24"/>
  <c r="AI134" i="24"/>
  <c r="C134" i="24"/>
  <c r="S133" i="24"/>
  <c r="W132" i="24"/>
  <c r="AB131" i="24"/>
  <c r="M150" i="24"/>
  <c r="M75" i="24"/>
  <c r="L163" i="24"/>
  <c r="L94" i="24"/>
  <c r="L25" i="24"/>
  <c r="K124" i="24"/>
  <c r="K62" i="24"/>
  <c r="J163" i="24"/>
  <c r="J89" i="24"/>
  <c r="I128" i="24"/>
  <c r="I70" i="24"/>
  <c r="H184" i="24"/>
  <c r="H106" i="24"/>
  <c r="H56" i="24"/>
  <c r="G149" i="24"/>
  <c r="G93" i="24"/>
  <c r="G25" i="24"/>
  <c r="F126" i="24"/>
  <c r="F79" i="24"/>
  <c r="E131" i="24"/>
  <c r="E86" i="24"/>
  <c r="E36" i="24"/>
  <c r="D150" i="24"/>
  <c r="D103" i="24"/>
  <c r="D66" i="24"/>
  <c r="X192" i="24"/>
  <c r="Q190" i="24"/>
  <c r="V187" i="24"/>
  <c r="X184" i="24"/>
  <c r="W182" i="24"/>
  <c r="R137" i="24"/>
  <c r="AC135" i="24"/>
  <c r="X134" i="24"/>
  <c r="C133" i="24"/>
  <c r="Z131" i="24"/>
  <c r="V130" i="24"/>
  <c r="C129" i="24"/>
  <c r="V127" i="24"/>
  <c r="P124" i="24"/>
  <c r="P122" i="24"/>
  <c r="W119" i="24"/>
  <c r="X117" i="24"/>
  <c r="T115" i="24"/>
  <c r="U108" i="24"/>
  <c r="R106" i="24"/>
  <c r="S104" i="24"/>
  <c r="C102" i="24"/>
  <c r="P100" i="24"/>
  <c r="V97" i="24"/>
  <c r="X95" i="24"/>
  <c r="T93" i="24"/>
  <c r="V91" i="24"/>
  <c r="U88" i="24"/>
  <c r="W86" i="24"/>
  <c r="U84" i="24"/>
  <c r="R83" i="24"/>
  <c r="AA80" i="24"/>
  <c r="AC78" i="24"/>
  <c r="AA76" i="24"/>
  <c r="AD74" i="24"/>
  <c r="AA73" i="24"/>
  <c r="R72" i="24"/>
  <c r="P70" i="24"/>
  <c r="R68" i="24"/>
  <c r="P66" i="24"/>
  <c r="T64" i="24"/>
  <c r="R62" i="24"/>
  <c r="T60" i="24"/>
  <c r="T57" i="24" s="1"/>
  <c r="R58" i="24"/>
  <c r="Q46" i="24"/>
  <c r="Q41" i="24" s="1"/>
  <c r="Q36" i="24"/>
  <c r="C30" i="24"/>
  <c r="W23" i="24"/>
  <c r="C22" i="24"/>
  <c r="M149" i="24"/>
  <c r="M71" i="24"/>
  <c r="L162" i="24"/>
  <c r="L89" i="24"/>
  <c r="L22" i="24"/>
  <c r="K120" i="24"/>
  <c r="K61" i="24"/>
  <c r="J150" i="24"/>
  <c r="J88" i="24"/>
  <c r="I123" i="24"/>
  <c r="I68" i="24"/>
  <c r="H174" i="24"/>
  <c r="H103" i="24"/>
  <c r="H53" i="24"/>
  <c r="G147" i="24"/>
  <c r="G86" i="24"/>
  <c r="G24" i="24"/>
  <c r="F124" i="24"/>
  <c r="F76" i="24"/>
  <c r="E128" i="24"/>
  <c r="E85" i="24"/>
  <c r="E35" i="24"/>
  <c r="D149" i="24"/>
  <c r="D102" i="24"/>
  <c r="D63" i="24"/>
  <c r="W192" i="24"/>
  <c r="X189" i="24"/>
  <c r="U187" i="24"/>
  <c r="W184" i="24"/>
  <c r="S182" i="24"/>
  <c r="C148" i="24"/>
  <c r="P137" i="24"/>
  <c r="AB135" i="24"/>
  <c r="S134" i="24"/>
  <c r="AH132" i="24"/>
  <c r="X131" i="24"/>
  <c r="Q130" i="24"/>
  <c r="AH128" i="24"/>
  <c r="Q127" i="24"/>
  <c r="O124" i="24"/>
  <c r="W121" i="24"/>
  <c r="V119" i="24"/>
  <c r="S117" i="24"/>
  <c r="S115" i="24"/>
  <c r="Q108" i="24"/>
  <c r="P106" i="24"/>
  <c r="C104" i="24"/>
  <c r="X101" i="24"/>
  <c r="U99" i="24"/>
  <c r="U97" i="24"/>
  <c r="R95" i="24"/>
  <c r="R93" i="24"/>
  <c r="P91" i="24"/>
  <c r="S88" i="24"/>
  <c r="S86" i="24"/>
  <c r="T84" i="24"/>
  <c r="P83" i="24"/>
  <c r="C80" i="24"/>
  <c r="AB78" i="24"/>
  <c r="Z76" i="24"/>
  <c r="AC74" i="24"/>
  <c r="Z73" i="24"/>
  <c r="Q72" i="24"/>
  <c r="O70" i="24"/>
  <c r="Q68" i="24"/>
  <c r="O66" i="24"/>
  <c r="R64" i="24"/>
  <c r="P62" i="24"/>
  <c r="S60" i="24"/>
  <c r="S57" i="24" s="1"/>
  <c r="Q58" i="24"/>
  <c r="P46" i="24"/>
  <c r="P41" i="24" s="1"/>
  <c r="O36" i="24"/>
  <c r="X25" i="24"/>
  <c r="V23" i="24"/>
  <c r="X21" i="24"/>
  <c r="M121" i="24"/>
  <c r="M56" i="24"/>
  <c r="L133" i="24"/>
  <c r="L74" i="24"/>
  <c r="K185" i="24"/>
  <c r="K100" i="24"/>
  <c r="K36" i="24"/>
  <c r="J131" i="24"/>
  <c r="J71" i="24"/>
  <c r="I181" i="24"/>
  <c r="I106" i="24"/>
  <c r="I53" i="24"/>
  <c r="H147" i="24"/>
  <c r="H91" i="24"/>
  <c r="H24" i="24"/>
  <c r="G128" i="24"/>
  <c r="G74" i="24"/>
  <c r="F187" i="24"/>
  <c r="F107" i="24"/>
  <c r="F64" i="24"/>
  <c r="E175" i="24"/>
  <c r="E117" i="24"/>
  <c r="E71" i="24"/>
  <c r="D133" i="24"/>
  <c r="D91" i="24"/>
  <c r="D53" i="24"/>
  <c r="U192" i="24"/>
  <c r="W189" i="24"/>
  <c r="P187" i="24"/>
  <c r="U184" i="24"/>
  <c r="R182" i="24"/>
  <c r="C162" i="24"/>
  <c r="O137" i="24"/>
  <c r="AA135" i="24"/>
  <c r="AI133" i="24"/>
  <c r="AG132" i="24"/>
  <c r="T131" i="24"/>
  <c r="AH129" i="24"/>
  <c r="AG128" i="24"/>
  <c r="O127" i="24"/>
  <c r="C124" i="24"/>
  <c r="S121" i="24"/>
  <c r="U119" i="24"/>
  <c r="P117" i="24"/>
  <c r="R115" i="24"/>
  <c r="O108" i="24"/>
  <c r="O106" i="24"/>
  <c r="W103" i="24"/>
  <c r="W101" i="24"/>
  <c r="S99" i="24"/>
  <c r="T97" i="24"/>
  <c r="P95" i="24"/>
  <c r="Q93" i="24"/>
  <c r="C91" i="24"/>
  <c r="R88" i="24"/>
  <c r="P86" i="24"/>
  <c r="S84" i="24"/>
  <c r="O83" i="24"/>
  <c r="AI79" i="24"/>
  <c r="AA78" i="24"/>
  <c r="C76" i="24"/>
  <c r="AA74" i="24"/>
  <c r="W73" i="24"/>
  <c r="P72" i="24"/>
  <c r="C70" i="24"/>
  <c r="P68" i="24"/>
  <c r="C66" i="24"/>
  <c r="Q64" i="24"/>
  <c r="O62" i="24"/>
  <c r="R60" i="24"/>
  <c r="R57" i="24" s="1"/>
  <c r="P58" i="24"/>
  <c r="C46" i="24"/>
  <c r="X37" i="24"/>
  <c r="C36" i="24"/>
  <c r="R25" i="24"/>
  <c r="T23" i="24"/>
  <c r="T21" i="24"/>
  <c r="M117" i="24"/>
  <c r="M52" i="24"/>
  <c r="L132" i="24"/>
  <c r="L69" i="24"/>
  <c r="K181" i="24"/>
  <c r="K97" i="24"/>
  <c r="K34" i="24"/>
  <c r="J129" i="24"/>
  <c r="J69" i="24"/>
  <c r="I174" i="24"/>
  <c r="I105" i="24"/>
  <c r="I52" i="24"/>
  <c r="H139" i="24"/>
  <c r="H89" i="24"/>
  <c r="H21" i="24"/>
  <c r="G126" i="24"/>
  <c r="G71" i="24"/>
  <c r="F185" i="24"/>
  <c r="F105" i="24"/>
  <c r="F63" i="24"/>
  <c r="E174" i="24"/>
  <c r="E116" i="24"/>
  <c r="E70" i="24"/>
  <c r="D130" i="24"/>
  <c r="D89" i="24"/>
  <c r="D52" i="24"/>
  <c r="T192" i="24"/>
  <c r="V189" i="24"/>
  <c r="U186" i="24"/>
  <c r="T184" i="24"/>
  <c r="Q182" i="24"/>
  <c r="C139" i="24"/>
  <c r="C137" i="24"/>
  <c r="V135" i="24"/>
  <c r="AH133" i="24"/>
  <c r="Z132" i="24"/>
  <c r="R131" i="24"/>
  <c r="AG129" i="24"/>
  <c r="AF128" i="24"/>
  <c r="C127" i="24"/>
  <c r="X123" i="24"/>
  <c r="R121" i="24"/>
  <c r="T119" i="24"/>
  <c r="O117" i="24"/>
  <c r="Q115" i="24"/>
  <c r="X107" i="24"/>
  <c r="C106" i="24"/>
  <c r="T103" i="24"/>
  <c r="V101" i="24"/>
  <c r="R99" i="24"/>
  <c r="S97" i="24"/>
  <c r="O95" i="24"/>
  <c r="O93" i="24"/>
  <c r="C90" i="24"/>
  <c r="Q88" i="24"/>
  <c r="O86" i="24"/>
  <c r="R84" i="24"/>
  <c r="AF81" i="24"/>
  <c r="AH79" i="24"/>
  <c r="AG77" i="24"/>
  <c r="AI75" i="24"/>
  <c r="V74" i="24"/>
  <c r="V73" i="24"/>
  <c r="U71" i="24"/>
  <c r="W69" i="24"/>
  <c r="W67" i="24"/>
  <c r="X65" i="24"/>
  <c r="W63" i="24"/>
  <c r="C62" i="24"/>
  <c r="X59" i="24"/>
  <c r="O58" i="24"/>
  <c r="C42" i="24"/>
  <c r="V37" i="24"/>
  <c r="C35" i="24"/>
  <c r="P25" i="24"/>
  <c r="S23" i="24"/>
  <c r="Q21" i="24"/>
  <c r="T96" i="24"/>
  <c r="V89" i="24"/>
  <c r="V82" i="24" s="1"/>
  <c r="V85" i="24"/>
  <c r="AB81" i="24"/>
  <c r="AB77" i="24"/>
  <c r="Q74" i="24"/>
  <c r="S73" i="24"/>
  <c r="S69" i="24"/>
  <c r="Q67" i="24"/>
  <c r="S63" i="24"/>
  <c r="U61" i="24"/>
  <c r="C55" i="24"/>
  <c r="R37" i="24"/>
  <c r="S33" i="24"/>
  <c r="S31" i="24" s="1"/>
  <c r="W22" i="24"/>
  <c r="M24" i="24"/>
  <c r="L120" i="24"/>
  <c r="K157" i="24"/>
  <c r="J117" i="24"/>
  <c r="I160" i="24"/>
  <c r="I32" i="24"/>
  <c r="H134" i="24"/>
  <c r="G193" i="24"/>
  <c r="G61" i="24"/>
  <c r="F163" i="24"/>
  <c r="F52" i="24"/>
  <c r="E104" i="24"/>
  <c r="D184" i="24"/>
  <c r="D123" i="24"/>
  <c r="D35" i="24"/>
  <c r="O194" i="24"/>
  <c r="V188" i="24"/>
  <c r="T183" i="24"/>
  <c r="U138" i="24"/>
  <c r="U136" i="24"/>
  <c r="AC133" i="24"/>
  <c r="R132" i="24"/>
  <c r="AB129" i="24"/>
  <c r="S128" i="24"/>
  <c r="W122" i="24"/>
  <c r="T118" i="24"/>
  <c r="U116" i="24"/>
  <c r="R107" i="24"/>
  <c r="O105" i="24"/>
  <c r="V100" i="24"/>
  <c r="S96" i="24"/>
  <c r="U94" i="24"/>
  <c r="T89" i="24"/>
  <c r="T82" i="24" s="1"/>
  <c r="R87" i="24"/>
  <c r="X83" i="24"/>
  <c r="Z81" i="24"/>
  <c r="AA77" i="24"/>
  <c r="Z75" i="24"/>
  <c r="C73" i="24"/>
  <c r="P71" i="24"/>
  <c r="P67" i="24"/>
  <c r="Q63" i="24"/>
  <c r="R59" i="24"/>
  <c r="X46" i="24"/>
  <c r="X41" i="24" s="1"/>
  <c r="P37" i="24"/>
  <c r="P33" i="24"/>
  <c r="P31" i="24" s="1"/>
  <c r="U22" i="24"/>
  <c r="M184" i="24"/>
  <c r="L185" i="24"/>
  <c r="L103" i="24"/>
  <c r="L42" i="24"/>
  <c r="K130" i="24"/>
  <c r="J175" i="24"/>
  <c r="J98" i="24"/>
  <c r="I133" i="24"/>
  <c r="I79" i="24"/>
  <c r="H119" i="24"/>
  <c r="G173" i="24"/>
  <c r="G98" i="24"/>
  <c r="F138" i="24"/>
  <c r="F85" i="24"/>
  <c r="E139" i="24"/>
  <c r="E46" i="24"/>
  <c r="D169" i="24"/>
  <c r="D71" i="24"/>
  <c r="S183" i="24"/>
  <c r="T138" i="24"/>
  <c r="AD134" i="24"/>
  <c r="U133" i="24"/>
  <c r="AA130" i="24"/>
  <c r="AA129" i="24"/>
  <c r="P126" i="24"/>
  <c r="W120" i="24"/>
  <c r="S118" i="24"/>
  <c r="P114" i="24"/>
  <c r="Q107" i="24"/>
  <c r="C103" i="24"/>
  <c r="V98" i="24"/>
  <c r="R96" i="24"/>
  <c r="O92" i="24"/>
  <c r="S89" i="24"/>
  <c r="S82" i="24" s="1"/>
  <c r="T85" i="24"/>
  <c r="V83" i="24"/>
  <c r="AH78" i="24"/>
  <c r="Z77" i="24"/>
  <c r="C74" i="24"/>
  <c r="V72" i="24"/>
  <c r="X68" i="24"/>
  <c r="O67" i="24"/>
  <c r="P63" i="24"/>
  <c r="C61" i="24"/>
  <c r="V46" i="24"/>
  <c r="V41" i="24" s="1"/>
  <c r="O37" i="24"/>
  <c r="O33" i="24"/>
  <c r="S22" i="24"/>
  <c r="M78" i="24"/>
  <c r="L182" i="24"/>
  <c r="L36" i="24"/>
  <c r="K128" i="24"/>
  <c r="J174" i="24"/>
  <c r="J94" i="24"/>
  <c r="I131" i="24"/>
  <c r="I77" i="24"/>
  <c r="H117" i="24"/>
  <c r="G171" i="24"/>
  <c r="G97" i="24"/>
  <c r="F136" i="24"/>
  <c r="F83" i="24"/>
  <c r="E138" i="24"/>
  <c r="E91" i="24"/>
  <c r="D162" i="24"/>
  <c r="D70" i="24"/>
  <c r="O188" i="24"/>
  <c r="R183" i="24"/>
  <c r="C156" i="24"/>
  <c r="S136" i="24"/>
  <c r="AB134" i="24"/>
  <c r="AI131" i="24"/>
  <c r="Z130" i="24"/>
  <c r="Q128" i="24"/>
  <c r="T122" i="24"/>
  <c r="Q120" i="24"/>
  <c r="C116" i="24"/>
  <c r="W106" i="24"/>
  <c r="U102" i="24"/>
  <c r="Q98" i="24"/>
  <c r="Q96" i="24"/>
  <c r="C92" i="24"/>
  <c r="P87" i="24"/>
  <c r="U83" i="24"/>
  <c r="AI80" i="24"/>
  <c r="C77" i="24"/>
  <c r="AI73" i="24"/>
  <c r="U72" i="24"/>
  <c r="V68" i="24"/>
  <c r="C67" i="24"/>
  <c r="O63" i="24"/>
  <c r="X60" i="24"/>
  <c r="X57" i="24" s="1"/>
  <c r="U46" i="24"/>
  <c r="U41" i="24" s="1"/>
  <c r="C37" i="24"/>
  <c r="C33" i="24"/>
  <c r="R22" i="24"/>
  <c r="M77" i="24"/>
  <c r="L174" i="24"/>
  <c r="L97" i="24"/>
  <c r="K127" i="24"/>
  <c r="K66" i="24"/>
  <c r="J173" i="24"/>
  <c r="J32" i="24"/>
  <c r="I130" i="24"/>
  <c r="H188" i="24"/>
  <c r="H59" i="24"/>
  <c r="G157" i="24"/>
  <c r="G33" i="24"/>
  <c r="F133" i="24"/>
  <c r="F23" i="24"/>
  <c r="E134" i="24"/>
  <c r="E42" i="24"/>
  <c r="D105" i="24"/>
  <c r="D69" i="24"/>
  <c r="C194" i="24"/>
  <c r="C191" i="24"/>
  <c r="P185" i="24"/>
  <c r="P136" i="24"/>
  <c r="P133" i="24"/>
  <c r="AD131" i="24"/>
  <c r="P129" i="24"/>
  <c r="U124" i="24"/>
  <c r="S122" i="24"/>
  <c r="P118" i="24"/>
  <c r="V115" i="24"/>
  <c r="U106" i="24"/>
  <c r="Q102" i="24"/>
  <c r="S100" i="24"/>
  <c r="P96" i="24"/>
  <c r="X91" i="24"/>
  <c r="W88" i="24"/>
  <c r="W84" i="24"/>
  <c r="AG80" i="24"/>
  <c r="AE78" i="24"/>
  <c r="AG74" i="24"/>
  <c r="AH73" i="24"/>
  <c r="W70" i="24"/>
  <c r="X66" i="24"/>
  <c r="X62" i="24"/>
  <c r="O59" i="24"/>
  <c r="T46" i="24"/>
  <c r="T41" i="24" s="1"/>
  <c r="C32" i="24"/>
  <c r="Q22" i="24"/>
  <c r="M76" i="24"/>
  <c r="L171" i="24"/>
  <c r="L96" i="24"/>
  <c r="L32" i="24"/>
  <c r="K126" i="24"/>
  <c r="J169" i="24"/>
  <c r="J91" i="24"/>
  <c r="I129" i="24"/>
  <c r="I73" i="24"/>
  <c r="H108" i="24"/>
  <c r="H58" i="24"/>
  <c r="G95" i="24"/>
  <c r="G30" i="24"/>
  <c r="F80" i="24"/>
  <c r="E133" i="24"/>
  <c r="E87" i="24"/>
  <c r="D156" i="24"/>
  <c r="D67" i="24"/>
  <c r="C193" i="24"/>
  <c r="W187" i="24"/>
  <c r="C163" i="24"/>
  <c r="S137" i="24"/>
  <c r="AG135" i="24"/>
  <c r="O133" i="24"/>
  <c r="AA131" i="24"/>
  <c r="O129" i="24"/>
  <c r="O128" i="24"/>
  <c r="Q122" i="24"/>
  <c r="X119" i="24"/>
  <c r="U115" i="24"/>
  <c r="S106" i="24"/>
  <c r="T104" i="24"/>
  <c r="Q100" i="24"/>
  <c r="X97" i="24"/>
  <c r="U93" i="24"/>
  <c r="W91" i="24"/>
  <c r="X86" i="24"/>
  <c r="S83" i="24"/>
  <c r="AD78" i="24"/>
  <c r="AC76" i="24"/>
  <c r="AD73" i="24"/>
  <c r="S72" i="24"/>
  <c r="T68" i="24"/>
  <c r="S66" i="24"/>
  <c r="T62" i="24"/>
  <c r="U60" i="24"/>
  <c r="U57" i="24" s="1"/>
  <c r="R46" i="24"/>
  <c r="R41" i="24" s="1"/>
  <c r="C31" i="24"/>
  <c r="O22" i="24"/>
  <c r="M116" i="24"/>
  <c r="M36" i="24"/>
  <c r="L131" i="24"/>
  <c r="L68" i="24"/>
  <c r="K173" i="24"/>
  <c r="K96" i="24"/>
  <c r="K24" i="24"/>
  <c r="J123" i="24"/>
  <c r="J66" i="24"/>
  <c r="I173" i="24"/>
  <c r="I99" i="24"/>
  <c r="I46" i="24"/>
  <c r="H138" i="24"/>
  <c r="H85" i="24"/>
  <c r="G121" i="24"/>
  <c r="G68" i="24"/>
  <c r="F181" i="24"/>
  <c r="F104" i="24"/>
  <c r="F56" i="24"/>
  <c r="E173" i="24"/>
  <c r="E115" i="24"/>
  <c r="E69" i="24"/>
  <c r="D194" i="24"/>
  <c r="D128" i="24"/>
  <c r="D88" i="24"/>
  <c r="D46" i="24"/>
  <c r="S192" i="24"/>
  <c r="R189" i="24"/>
  <c r="T186" i="24"/>
  <c r="C159" i="24"/>
  <c r="X138" i="24"/>
  <c r="AC136" i="24"/>
  <c r="U135" i="24"/>
  <c r="AG133" i="24"/>
  <c r="U132" i="24"/>
  <c r="Q131" i="24"/>
  <c r="AF129" i="24"/>
  <c r="AE128" i="24"/>
  <c r="AE125" i="24" s="1"/>
  <c r="AE112" i="24" s="1"/>
  <c r="W126" i="24"/>
  <c r="V123" i="24"/>
  <c r="P121" i="24"/>
  <c r="R119" i="24"/>
  <c r="C117" i="24"/>
  <c r="C115" i="24"/>
  <c r="W107" i="24"/>
  <c r="X105" i="24"/>
  <c r="S103" i="24"/>
  <c r="U101" i="24"/>
  <c r="P99" i="24"/>
  <c r="R97" i="24"/>
  <c r="C95" i="24"/>
  <c r="C93" i="24"/>
  <c r="X89" i="24"/>
  <c r="X82" i="24" s="1"/>
  <c r="O88" i="24"/>
  <c r="X85" i="24"/>
  <c r="Q84" i="24"/>
  <c r="AD81" i="24"/>
  <c r="AF79" i="24"/>
  <c r="AD77" i="24"/>
  <c r="AH75" i="24"/>
  <c r="T74" i="24"/>
  <c r="U73" i="24"/>
  <c r="S71" i="24"/>
  <c r="V69" i="24"/>
  <c r="T67" i="24"/>
  <c r="W65" i="24"/>
  <c r="U63" i="24"/>
  <c r="W61" i="24"/>
  <c r="U59" i="24"/>
  <c r="C58" i="24"/>
  <c r="T37" i="24"/>
  <c r="C34" i="24"/>
  <c r="O25" i="24"/>
  <c r="R23" i="24"/>
  <c r="P21" i="24"/>
  <c r="M108" i="24"/>
  <c r="M35" i="24"/>
  <c r="L130" i="24"/>
  <c r="L67" i="24"/>
  <c r="K169" i="24"/>
  <c r="K95" i="24"/>
  <c r="K23" i="24"/>
  <c r="J122" i="24"/>
  <c r="J65" i="24"/>
  <c r="I171" i="24"/>
  <c r="I98" i="24"/>
  <c r="I45" i="24"/>
  <c r="H136" i="24"/>
  <c r="H81" i="24"/>
  <c r="G120" i="24"/>
  <c r="G66" i="24"/>
  <c r="F175" i="24"/>
  <c r="F103" i="24"/>
  <c r="F55" i="24"/>
  <c r="E171" i="24"/>
  <c r="E107" i="24"/>
  <c r="E68" i="24"/>
  <c r="D190" i="24"/>
  <c r="D127" i="24"/>
  <c r="D87" i="24"/>
  <c r="D42" i="24"/>
  <c r="Q194" i="24"/>
  <c r="W191" i="24"/>
  <c r="Q189" i="24"/>
  <c r="S186" i="24"/>
  <c r="W183" i="24"/>
  <c r="W138" i="24"/>
  <c r="X136" i="24"/>
  <c r="T135" i="24"/>
  <c r="AF133" i="24"/>
  <c r="T132" i="24"/>
  <c r="AI130" i="24"/>
  <c r="AE129" i="24"/>
  <c r="W128" i="24"/>
  <c r="V126" i="24"/>
  <c r="Q123" i="24"/>
  <c r="O121" i="24"/>
  <c r="W118" i="24"/>
  <c r="W116" i="24"/>
  <c r="T114" i="24"/>
  <c r="V107" i="24"/>
  <c r="R105" i="24"/>
  <c r="R103" i="24"/>
  <c r="P101" i="24"/>
  <c r="O99" i="24"/>
  <c r="W96" i="24"/>
  <c r="W94" i="24"/>
  <c r="T92" i="24"/>
  <c r="W89" i="24"/>
  <c r="W82" i="24" s="1"/>
  <c r="V87" i="24"/>
  <c r="W85" i="24"/>
  <c r="AC81" i="24"/>
  <c r="AE79" i="24"/>
  <c r="AC77" i="24"/>
  <c r="AF75" i="24"/>
  <c r="R74" i="24"/>
  <c r="T73" i="24"/>
  <c r="R71" i="24"/>
  <c r="U69" i="24"/>
  <c r="S67" i="24"/>
  <c r="V65" i="24"/>
  <c r="T63" i="24"/>
  <c r="V61" i="24"/>
  <c r="T59" i="24"/>
  <c r="C56" i="24"/>
  <c r="S37" i="24"/>
  <c r="X33" i="24"/>
  <c r="X31" i="24" s="1"/>
  <c r="C25" i="24"/>
  <c r="P23" i="24"/>
  <c r="C21" i="24"/>
  <c r="M107" i="24"/>
  <c r="M33" i="24"/>
  <c r="L128" i="24"/>
  <c r="L66" i="24"/>
  <c r="K160" i="24"/>
  <c r="K94" i="24"/>
  <c r="K21" i="24"/>
  <c r="J120" i="24"/>
  <c r="J62" i="24"/>
  <c r="I170" i="24"/>
  <c r="I95" i="24"/>
  <c r="I44" i="24"/>
  <c r="H135" i="24"/>
  <c r="H78" i="24"/>
  <c r="G118" i="24"/>
  <c r="G64" i="24"/>
  <c r="F171" i="24"/>
  <c r="F102" i="24"/>
  <c r="F53" i="24"/>
  <c r="E170" i="24"/>
  <c r="E105" i="24"/>
  <c r="E65" i="24"/>
  <c r="D189" i="24"/>
  <c r="D126" i="24"/>
  <c r="D85" i="24"/>
  <c r="D36" i="24"/>
  <c r="P194" i="24"/>
  <c r="S191" i="24"/>
  <c r="P189" i="24"/>
  <c r="R186" i="24"/>
  <c r="U183" i="24"/>
  <c r="C181" i="24"/>
  <c r="V138" i="24"/>
  <c r="W136" i="24"/>
  <c r="O135" i="24"/>
  <c r="AE133" i="24"/>
  <c r="S132" i="24"/>
  <c r="AF130" i="24"/>
  <c r="AC129" i="24"/>
  <c r="T128" i="24"/>
  <c r="R126" i="24"/>
  <c r="X122" i="24"/>
  <c r="C121" i="24"/>
  <c r="U118" i="24"/>
  <c r="V116" i="24"/>
  <c r="R114" i="24"/>
  <c r="S107" i="24"/>
  <c r="P105" i="24"/>
  <c r="P103" i="24"/>
  <c r="W100" i="24"/>
  <c r="C99" i="24"/>
  <c r="V94" i="24"/>
  <c r="Q92" i="24"/>
  <c r="T87" i="24"/>
  <c r="AD79" i="24"/>
  <c r="AE75" i="24"/>
  <c r="Q71" i="24"/>
  <c r="U65" i="24"/>
  <c r="S59" i="24"/>
  <c r="X24" i="24"/>
  <c r="M103" i="24"/>
  <c r="L65" i="24"/>
  <c r="K89" i="24"/>
  <c r="J59" i="24"/>
  <c r="I94" i="24"/>
  <c r="H77" i="24"/>
  <c r="G117" i="24"/>
  <c r="F99" i="24"/>
  <c r="E169" i="24"/>
  <c r="E64" i="24"/>
  <c r="D84" i="24"/>
  <c r="R191" i="24"/>
  <c r="Q186" i="24"/>
  <c r="AH134" i="24"/>
  <c r="AE130" i="24"/>
  <c r="Q126" i="24"/>
  <c r="X120" i="24"/>
  <c r="Q114" i="24"/>
  <c r="O103" i="24"/>
  <c r="W98" i="24"/>
  <c r="P92" i="24"/>
  <c r="U85" i="24"/>
  <c r="Z79" i="24"/>
  <c r="P74" i="24"/>
  <c r="O69" i="24"/>
  <c r="O65" i="24"/>
  <c r="Q61" i="24"/>
  <c r="W24" i="24"/>
  <c r="M81" i="24"/>
  <c r="K75" i="24"/>
  <c r="J36" i="24"/>
  <c r="H194" i="24"/>
  <c r="H63" i="24"/>
  <c r="G37" i="24"/>
  <c r="F25" i="24"/>
  <c r="E96" i="24"/>
  <c r="D108" i="24"/>
  <c r="P191" i="24"/>
  <c r="S188" i="24"/>
  <c r="O186" i="24"/>
  <c r="C173" i="24"/>
  <c r="T136" i="24"/>
  <c r="Q132" i="24"/>
  <c r="R128" i="24"/>
  <c r="U122" i="24"/>
  <c r="T116" i="24"/>
  <c r="X104" i="24"/>
  <c r="U100" i="24"/>
  <c r="R94" i="24"/>
  <c r="Q87" i="24"/>
  <c r="C81" i="24"/>
  <c r="AI74" i="24"/>
  <c r="O71" i="24"/>
  <c r="X64" i="24"/>
  <c r="Q59" i="24"/>
  <c r="U24" i="24"/>
  <c r="M182" i="24"/>
  <c r="L101" i="24"/>
  <c r="K74" i="24"/>
  <c r="J35" i="24"/>
  <c r="H192" i="24"/>
  <c r="H60" i="24"/>
  <c r="G34" i="24"/>
  <c r="F24" i="24"/>
  <c r="E44" i="24"/>
  <c r="D106" i="24"/>
  <c r="O191" i="24"/>
  <c r="S185" i="24"/>
  <c r="C170" i="24"/>
  <c r="W137" i="24"/>
  <c r="R133" i="24"/>
  <c r="S129" i="24"/>
  <c r="W124" i="24"/>
  <c r="Q118" i="24"/>
  <c r="O114" i="24"/>
  <c r="W104" i="24"/>
  <c r="T100" i="24"/>
  <c r="C94" i="24"/>
  <c r="C89" i="24"/>
  <c r="O85" i="24"/>
  <c r="AG78" i="24"/>
  <c r="AH74" i="24"/>
  <c r="X70" i="24"/>
  <c r="W64" i="24"/>
  <c r="P59" i="24"/>
  <c r="T24" i="24"/>
  <c r="M169" i="24"/>
  <c r="L33" i="24"/>
  <c r="J92" i="24"/>
  <c r="I74" i="24"/>
  <c r="H114" i="24"/>
  <c r="G96" i="24"/>
  <c r="F81" i="24"/>
  <c r="E88" i="24"/>
  <c r="D160" i="24"/>
  <c r="X187" i="24"/>
  <c r="O183" i="24"/>
  <c r="T137" i="24"/>
  <c r="AA134" i="24"/>
  <c r="X130" i="24"/>
  <c r="P128" i="24"/>
  <c r="C120" i="24"/>
  <c r="C113" i="24"/>
  <c r="U104" i="24"/>
  <c r="C98" i="24"/>
  <c r="V93" i="24"/>
  <c r="C87" i="24"/>
  <c r="T83" i="24"/>
  <c r="AI76" i="24"/>
  <c r="T72" i="24"/>
  <c r="U68" i="24"/>
  <c r="V64" i="24"/>
  <c r="V60" i="24"/>
  <c r="V57" i="24" s="1"/>
  <c r="U36" i="24"/>
  <c r="O24" i="24"/>
  <c r="M159" i="24"/>
  <c r="K64" i="24"/>
  <c r="J23" i="24"/>
  <c r="H187" i="24"/>
  <c r="G156" i="24"/>
  <c r="F130" i="24"/>
  <c r="E37" i="24"/>
  <c r="D104" i="24"/>
  <c r="V190" i="24"/>
  <c r="C185" i="24"/>
  <c r="C155" i="24"/>
  <c r="Z134" i="24"/>
  <c r="W130" i="24"/>
  <c r="S124" i="24"/>
  <c r="O118" i="24"/>
  <c r="W108" i="24"/>
  <c r="O102" i="24"/>
  <c r="O96" i="24"/>
  <c r="V88" i="24"/>
  <c r="V84" i="24"/>
  <c r="AC80" i="24"/>
  <c r="AE74" i="24"/>
  <c r="R70" i="24"/>
  <c r="U64" i="24"/>
  <c r="T58" i="24"/>
  <c r="R36" i="24"/>
  <c r="X23" i="24"/>
  <c r="J141" i="6"/>
  <c r="J60" i="6"/>
  <c r="J40" i="6"/>
  <c r="J139" i="6"/>
  <c r="J93" i="6"/>
  <c r="J85" i="6"/>
  <c r="L7" i="3"/>
  <c r="L5" i="3" s="1"/>
  <c r="G112" i="3"/>
  <c r="K124" i="3"/>
  <c r="N179" i="3"/>
  <c r="L124" i="3"/>
  <c r="E41" i="3"/>
  <c r="E70" i="3"/>
  <c r="I112" i="3"/>
  <c r="M124" i="3"/>
  <c r="J157" i="3"/>
  <c r="F70" i="3"/>
  <c r="J112" i="3"/>
  <c r="N124" i="3"/>
  <c r="E179" i="3"/>
  <c r="H70" i="3"/>
  <c r="L112" i="3"/>
  <c r="I70" i="3"/>
  <c r="M112" i="3"/>
  <c r="E124" i="3"/>
  <c r="J82" i="6"/>
  <c r="J72" i="6"/>
  <c r="J108" i="6"/>
  <c r="J62" i="6"/>
  <c r="J110" i="6"/>
  <c r="J86" i="6"/>
  <c r="J111" i="6"/>
  <c r="J134" i="6"/>
  <c r="J64" i="6"/>
  <c r="J100" i="6"/>
  <c r="J124" i="6"/>
  <c r="J135" i="6"/>
  <c r="J70" i="6"/>
  <c r="J94" i="6"/>
  <c r="J106" i="6"/>
  <c r="J71" i="6"/>
  <c r="J107" i="6"/>
  <c r="J96" i="6"/>
  <c r="J120" i="6"/>
  <c r="J143" i="6"/>
  <c r="J97" i="6"/>
  <c r="J132" i="6"/>
  <c r="J122" i="6"/>
  <c r="J99" i="6"/>
  <c r="J123" i="6"/>
  <c r="J101" i="6"/>
  <c r="J81" i="6"/>
  <c r="J35" i="6"/>
  <c r="J65" i="6"/>
  <c r="J77" i="6"/>
  <c r="J88" i="6"/>
  <c r="J125" i="6"/>
  <c r="J136" i="6"/>
  <c r="J66" i="6"/>
  <c r="J89" i="6"/>
  <c r="J102" i="6"/>
  <c r="J126" i="6"/>
  <c r="J137" i="6"/>
  <c r="J95" i="6"/>
  <c r="J142" i="6"/>
  <c r="J83" i="6"/>
  <c r="J84" i="6"/>
  <c r="J121" i="6"/>
  <c r="J74" i="6"/>
  <c r="J98" i="6"/>
  <c r="J133" i="6"/>
  <c r="J63" i="6"/>
  <c r="J87" i="6"/>
  <c r="J23" i="6"/>
  <c r="J37" i="6"/>
  <c r="J67" i="6"/>
  <c r="J78" i="6"/>
  <c r="J90" i="6"/>
  <c r="J103" i="6"/>
  <c r="J127" i="6"/>
  <c r="J138" i="6"/>
  <c r="J58" i="6"/>
  <c r="J73" i="6"/>
  <c r="J109" i="6"/>
  <c r="J25" i="6"/>
  <c r="F25" i="6"/>
  <c r="J38" i="6"/>
  <c r="J68" i="6"/>
  <c r="J79" i="6"/>
  <c r="J91" i="6"/>
  <c r="J104" i="6"/>
  <c r="J128" i="6"/>
  <c r="J57" i="6"/>
  <c r="J26" i="6"/>
  <c r="J69" i="6"/>
  <c r="J80" i="6"/>
  <c r="J92" i="6"/>
  <c r="J105" i="6"/>
  <c r="J140" i="6"/>
  <c r="E201" i="6"/>
  <c r="J32" i="6"/>
  <c r="J47" i="6"/>
  <c r="J49" i="6"/>
  <c r="J55" i="6"/>
  <c r="J54" i="6"/>
  <c r="J117" i="6"/>
  <c r="J59" i="6"/>
  <c r="J131" i="6"/>
  <c r="J39" i="6"/>
  <c r="F24" i="6"/>
  <c r="J24" i="6"/>
  <c r="J14" i="6"/>
  <c r="J56" i="6"/>
  <c r="J61" i="6"/>
  <c r="J130" i="6"/>
  <c r="J33" i="6"/>
  <c r="J15" i="6"/>
  <c r="J20" i="6"/>
  <c r="F20" i="6"/>
  <c r="J21" i="6"/>
  <c r="J118" i="6"/>
  <c r="J45" i="6"/>
  <c r="J48" i="6"/>
  <c r="J46" i="6"/>
  <c r="J34" i="6"/>
  <c r="J36" i="6"/>
  <c r="J27" i="6"/>
  <c r="J119" i="6"/>
  <c r="M7" i="3"/>
  <c r="M5" i="3" s="1"/>
  <c r="H23" i="6"/>
  <c r="F49" i="3"/>
  <c r="L167" i="3"/>
  <c r="N167" i="3"/>
  <c r="L179" i="3"/>
  <c r="M49" i="3"/>
  <c r="L49" i="3"/>
  <c r="F139" i="6"/>
  <c r="H99" i="6"/>
  <c r="F134" i="6"/>
  <c r="F35" i="6"/>
  <c r="H65" i="6"/>
  <c r="F77" i="6"/>
  <c r="H88" i="6"/>
  <c r="F100" i="6"/>
  <c r="F124" i="6"/>
  <c r="H135" i="6"/>
  <c r="F89" i="6"/>
  <c r="H101" i="6"/>
  <c r="H125" i="6"/>
  <c r="F136" i="6"/>
  <c r="F67" i="6"/>
  <c r="F78" i="6"/>
  <c r="F90" i="6"/>
  <c r="F102" i="6"/>
  <c r="F126" i="6"/>
  <c r="F137" i="6"/>
  <c r="N7" i="3"/>
  <c r="N5" i="3" s="1"/>
  <c r="J49" i="3"/>
  <c r="K147" i="3"/>
  <c r="F38" i="6"/>
  <c r="H91" i="6"/>
  <c r="F138" i="6"/>
  <c r="F26" i="6"/>
  <c r="H69" i="6"/>
  <c r="H80" i="6"/>
  <c r="F92" i="6"/>
  <c r="F104" i="6"/>
  <c r="F58" i="6"/>
  <c r="F81" i="6"/>
  <c r="F140" i="6"/>
  <c r="F82" i="6"/>
  <c r="F106" i="6"/>
  <c r="M143" i="3"/>
  <c r="F83" i="6"/>
  <c r="H142" i="6"/>
  <c r="H61" i="6"/>
  <c r="H73" i="6"/>
  <c r="H84" i="6"/>
  <c r="F96" i="6"/>
  <c r="F108" i="6"/>
  <c r="F120" i="6"/>
  <c r="F143" i="6"/>
  <c r="H139" i="6"/>
  <c r="H97" i="6"/>
  <c r="F63" i="6"/>
  <c r="F86" i="6"/>
  <c r="F98" i="6"/>
  <c r="F110" i="6"/>
  <c r="F122" i="6"/>
  <c r="F133" i="6"/>
  <c r="F70" i="6"/>
  <c r="H109" i="6"/>
  <c r="F34" i="6"/>
  <c r="M81" i="3"/>
  <c r="H161" i="6"/>
  <c r="F179" i="6"/>
  <c r="H196" i="6"/>
  <c r="F197" i="6"/>
  <c r="F198" i="6"/>
  <c r="F199" i="6"/>
  <c r="H191" i="6"/>
  <c r="F192" i="6"/>
  <c r="H193" i="6"/>
  <c r="F194" i="6"/>
  <c r="H195" i="6"/>
  <c r="H105" i="6"/>
  <c r="G49" i="3"/>
  <c r="F64" i="6"/>
  <c r="F37" i="6"/>
  <c r="F68" i="6"/>
  <c r="F57" i="6"/>
  <c r="F72" i="6"/>
  <c r="H54" i="6"/>
  <c r="I54" i="6"/>
  <c r="H20" i="6"/>
  <c r="F149" i="6"/>
  <c r="H149" i="6"/>
  <c r="F187" i="6"/>
  <c r="H187" i="6"/>
  <c r="F48" i="6"/>
  <c r="F27" i="6"/>
  <c r="F59" i="6"/>
  <c r="H59" i="6"/>
  <c r="F39" i="6"/>
  <c r="H39" i="6"/>
  <c r="H162" i="6"/>
  <c r="H188" i="6"/>
  <c r="F160" i="6"/>
  <c r="H174" i="6"/>
  <c r="F14" i="6"/>
  <c r="H32" i="6"/>
  <c r="F32" i="6"/>
  <c r="F153" i="6"/>
  <c r="H153" i="6"/>
  <c r="H176" i="6"/>
  <c r="F190" i="6"/>
  <c r="H190" i="6"/>
  <c r="F163" i="6"/>
  <c r="H150" i="6"/>
  <c r="H152" i="6"/>
  <c r="F118" i="6"/>
  <c r="F164" i="6"/>
  <c r="H154" i="6"/>
  <c r="F154" i="6"/>
  <c r="H165" i="6"/>
  <c r="F71" i="6"/>
  <c r="F119" i="6"/>
  <c r="F130" i="6"/>
  <c r="F49" i="6"/>
  <c r="H49" i="6"/>
  <c r="H43" i="6" s="1"/>
  <c r="F131" i="6"/>
  <c r="H178" i="6"/>
  <c r="H189" i="6"/>
  <c r="F189" i="6"/>
  <c r="H185" i="6"/>
  <c r="F45" i="6"/>
  <c r="H45" i="6"/>
  <c r="H129" i="6"/>
  <c r="H172" i="6"/>
  <c r="F151" i="6"/>
  <c r="H151" i="6"/>
  <c r="F186" i="6"/>
  <c r="H186" i="6"/>
  <c r="H46" i="6"/>
  <c r="F47" i="6"/>
  <c r="H111" i="6"/>
  <c r="F56" i="6"/>
  <c r="F55" i="6"/>
  <c r="H192" i="6"/>
  <c r="H173" i="6"/>
  <c r="H136" i="6"/>
  <c r="H110" i="6"/>
  <c r="F84" i="6"/>
  <c r="H66" i="6"/>
  <c r="F23" i="6"/>
  <c r="H137" i="6"/>
  <c r="H24" i="6"/>
  <c r="F135" i="6"/>
  <c r="F109" i="6"/>
  <c r="F65" i="6"/>
  <c r="H163" i="6"/>
  <c r="H106" i="6"/>
  <c r="H81" i="6"/>
  <c r="H133" i="6"/>
  <c r="F105" i="6"/>
  <c r="H62" i="6"/>
  <c r="H35" i="6"/>
  <c r="F161" i="6"/>
  <c r="H143" i="6"/>
  <c r="H132" i="6"/>
  <c r="H102" i="6"/>
  <c r="F61" i="6"/>
  <c r="H48" i="6"/>
  <c r="F101" i="6"/>
  <c r="H140" i="6"/>
  <c r="H98" i="6"/>
  <c r="H74" i="6"/>
  <c r="F125" i="6"/>
  <c r="F97" i="6"/>
  <c r="F73" i="6"/>
  <c r="H122" i="6"/>
  <c r="H94" i="6"/>
  <c r="F195" i="6"/>
  <c r="F121" i="6"/>
  <c r="H70" i="6"/>
  <c r="H56" i="6"/>
  <c r="F193" i="6"/>
  <c r="F69" i="6"/>
  <c r="H95" i="6"/>
  <c r="H82" i="6"/>
  <c r="H78" i="6"/>
  <c r="F74" i="6"/>
  <c r="F66" i="6"/>
  <c r="F62" i="6"/>
  <c r="H57" i="6"/>
  <c r="H36" i="6"/>
  <c r="H15" i="6"/>
  <c r="H107" i="6"/>
  <c r="H103" i="6"/>
  <c r="H179" i="6"/>
  <c r="F173" i="6"/>
  <c r="H141" i="6"/>
  <c r="H128" i="6"/>
  <c r="H124" i="6"/>
  <c r="H120" i="6"/>
  <c r="F111" i="6"/>
  <c r="F107" i="6"/>
  <c r="F103" i="6"/>
  <c r="F99" i="6"/>
  <c r="F95" i="6"/>
  <c r="H90" i="6"/>
  <c r="H86" i="6"/>
  <c r="F36" i="6"/>
  <c r="F15" i="6"/>
  <c r="F174" i="6"/>
  <c r="F142" i="6"/>
  <c r="F91" i="6"/>
  <c r="F87" i="6"/>
  <c r="F128" i="6"/>
  <c r="H14" i="6"/>
  <c r="F178" i="6"/>
  <c r="H167" i="6"/>
  <c r="H160" i="6"/>
  <c r="F132" i="6"/>
  <c r="H127" i="6"/>
  <c r="H123" i="6"/>
  <c r="F94" i="6"/>
  <c r="H89" i="6"/>
  <c r="H77" i="6"/>
  <c r="H177" i="6"/>
  <c r="F167" i="6"/>
  <c r="F127" i="6"/>
  <c r="F123" i="6"/>
  <c r="H119" i="6"/>
  <c r="H72" i="6"/>
  <c r="H68" i="6"/>
  <c r="H64" i="6"/>
  <c r="H26" i="6"/>
  <c r="F177" i="6"/>
  <c r="H166" i="6"/>
  <c r="H131" i="6"/>
  <c r="H55" i="6"/>
  <c r="H47" i="6"/>
  <c r="H38" i="6"/>
  <c r="H34" i="6"/>
  <c r="H194" i="6"/>
  <c r="H175" i="6"/>
  <c r="H118" i="6"/>
  <c r="F88" i="6"/>
  <c r="F76" i="6"/>
  <c r="H71" i="6"/>
  <c r="H67" i="6"/>
  <c r="H63" i="6"/>
  <c r="H60" i="6" s="1"/>
  <c r="H25" i="6"/>
  <c r="F166" i="6"/>
  <c r="F175" i="6"/>
  <c r="H164" i="6"/>
  <c r="H138" i="6"/>
  <c r="H134" i="6"/>
  <c r="H130" i="6"/>
  <c r="H108" i="6"/>
  <c r="H104" i="6"/>
  <c r="H100" i="6"/>
  <c r="H96" i="6"/>
  <c r="H83" i="6"/>
  <c r="H79" i="6"/>
  <c r="H58" i="6"/>
  <c r="H37" i="6"/>
  <c r="H76" i="6"/>
  <c r="H121" i="6"/>
  <c r="H87" i="6"/>
  <c r="F79" i="6"/>
  <c r="H199" i="6"/>
  <c r="H198" i="6"/>
  <c r="H197" i="6"/>
  <c r="K49" i="3"/>
  <c r="M190" i="3"/>
  <c r="I49" i="3"/>
  <c r="H49" i="3"/>
  <c r="N49" i="3"/>
  <c r="J136" i="3"/>
  <c r="E190" i="3"/>
  <c r="M167" i="3"/>
  <c r="F190" i="3"/>
  <c r="H41" i="3"/>
  <c r="H38" i="3" s="1"/>
  <c r="I41" i="3"/>
  <c r="I38" i="3" s="1"/>
  <c r="F154" i="3"/>
  <c r="F157" i="3"/>
  <c r="H147" i="3"/>
  <c r="J41" i="3"/>
  <c r="J38" i="3" s="1"/>
  <c r="K28" i="3"/>
  <c r="K25" i="3" s="1"/>
  <c r="H182" i="3"/>
  <c r="K154" i="3"/>
  <c r="K41" i="3"/>
  <c r="K38" i="3" s="1"/>
  <c r="H55" i="3"/>
  <c r="G157" i="3"/>
  <c r="G185" i="3"/>
  <c r="H185" i="3"/>
  <c r="H157" i="3"/>
  <c r="I171" i="3"/>
  <c r="L136" i="3"/>
  <c r="J160" i="3"/>
  <c r="K160" i="3"/>
  <c r="L190" i="3"/>
  <c r="E136" i="3"/>
  <c r="F143" i="3"/>
  <c r="N182" i="3"/>
  <c r="H16" i="3"/>
  <c r="H12" i="3" s="1"/>
  <c r="F136" i="3"/>
  <c r="F41" i="3"/>
  <c r="F38" i="3" s="1"/>
  <c r="F147" i="3"/>
  <c r="I167" i="3"/>
  <c r="I179" i="3"/>
  <c r="I182" i="3"/>
  <c r="G81" i="3"/>
  <c r="H81" i="3"/>
  <c r="H136" i="3"/>
  <c r="N157" i="3"/>
  <c r="J167" i="3"/>
  <c r="J171" i="3"/>
  <c r="J179" i="3"/>
  <c r="J182" i="3"/>
  <c r="H190" i="3"/>
  <c r="N89" i="3"/>
  <c r="K171" i="3"/>
  <c r="K179" i="3"/>
  <c r="I81" i="3"/>
  <c r="J81" i="3"/>
  <c r="I147" i="3"/>
  <c r="M171" i="3"/>
  <c r="I143" i="3"/>
  <c r="K143" i="3"/>
  <c r="J147" i="3"/>
  <c r="M179" i="3"/>
  <c r="L143" i="3"/>
  <c r="M41" i="3"/>
  <c r="M38" i="3" s="1"/>
  <c r="H89" i="3"/>
  <c r="N185" i="3"/>
  <c r="N41" i="3"/>
  <c r="N38" i="3" s="1"/>
  <c r="I157" i="3"/>
  <c r="E171" i="3"/>
  <c r="F28" i="3"/>
  <c r="F25" i="3" s="1"/>
  <c r="N143" i="3"/>
  <c r="G160" i="3"/>
  <c r="F171" i="3"/>
  <c r="F179" i="3"/>
  <c r="F182" i="3"/>
  <c r="H7" i="3"/>
  <c r="H5" i="3" s="1"/>
  <c r="J89" i="3"/>
  <c r="K89" i="3"/>
  <c r="K157" i="3"/>
  <c r="H160" i="3"/>
  <c r="I160" i="3"/>
  <c r="G167" i="3"/>
  <c r="G171" i="3"/>
  <c r="H171" i="3"/>
  <c r="G179" i="3"/>
  <c r="L41" i="3"/>
  <c r="L38" i="3" s="1"/>
  <c r="M157" i="3"/>
  <c r="J7" i="3"/>
  <c r="J5" i="3" s="1"/>
  <c r="K7" i="3"/>
  <c r="K5" i="3" s="1"/>
  <c r="G55" i="3"/>
  <c r="F81" i="3"/>
  <c r="L16" i="3"/>
  <c r="L12" i="3" s="1"/>
  <c r="J16" i="3"/>
  <c r="J12" i="3" s="1"/>
  <c r="K16" i="3"/>
  <c r="K12" i="3" s="1"/>
  <c r="N28" i="3"/>
  <c r="N25" i="3" s="1"/>
  <c r="G154" i="3"/>
  <c r="G41" i="3"/>
  <c r="G38" i="3" s="1"/>
  <c r="J55" i="3"/>
  <c r="K55" i="3"/>
  <c r="L147" i="3"/>
  <c r="D17" i="3"/>
  <c r="F7" i="3"/>
  <c r="F5" i="3" s="1"/>
  <c r="G28" i="3"/>
  <c r="G25" i="3" s="1"/>
  <c r="F16" i="3"/>
  <c r="F12" i="3" s="1"/>
  <c r="I28" i="3"/>
  <c r="I25" i="3" s="1"/>
  <c r="K81" i="3"/>
  <c r="L89" i="3"/>
  <c r="L81" i="3"/>
  <c r="N136" i="3"/>
  <c r="H143" i="3"/>
  <c r="L154" i="3"/>
  <c r="L152" i="3" s="1"/>
  <c r="M160" i="3"/>
  <c r="N160" i="3"/>
  <c r="H167" i="3"/>
  <c r="I185" i="3"/>
  <c r="J143" i="3"/>
  <c r="G147" i="3"/>
  <c r="N154" i="3"/>
  <c r="K167" i="3"/>
  <c r="K182" i="3"/>
  <c r="J185" i="3"/>
  <c r="K185" i="3"/>
  <c r="I190" i="3"/>
  <c r="E160" i="3"/>
  <c r="M182" i="3"/>
  <c r="L185" i="3"/>
  <c r="M185" i="3"/>
  <c r="J190" i="3"/>
  <c r="K190" i="3"/>
  <c r="G89" i="3"/>
  <c r="I136" i="3"/>
  <c r="L171" i="3"/>
  <c r="F185" i="3"/>
  <c r="N190" i="3"/>
  <c r="E143" i="3"/>
  <c r="N147" i="3"/>
  <c r="E167" i="3"/>
  <c r="N171" i="3"/>
  <c r="G182" i="3"/>
  <c r="N16" i="3"/>
  <c r="N12" i="3" s="1"/>
  <c r="I16" i="3"/>
  <c r="I12" i="3" s="1"/>
  <c r="I89" i="3"/>
  <c r="E147" i="3"/>
  <c r="F55" i="3"/>
  <c r="G136" i="3"/>
  <c r="M154" i="3"/>
  <c r="E7" i="3"/>
  <c r="L28" i="3"/>
  <c r="L25" i="3" s="1"/>
  <c r="H28" i="3"/>
  <c r="H25" i="3" s="1"/>
  <c r="I55" i="3"/>
  <c r="N81" i="3"/>
  <c r="E154" i="3"/>
  <c r="G16" i="3"/>
  <c r="G12" i="3" s="1"/>
  <c r="F89" i="3"/>
  <c r="M147" i="3"/>
  <c r="J28" i="3"/>
  <c r="J25" i="3" s="1"/>
  <c r="L55" i="3"/>
  <c r="E185" i="3"/>
  <c r="G190" i="3"/>
  <c r="G143" i="3"/>
  <c r="E157" i="3"/>
  <c r="F160" i="3"/>
  <c r="F167" i="3"/>
  <c r="F191" i="6" l="1"/>
  <c r="F196" i="6"/>
  <c r="J75" i="6"/>
  <c r="J52" i="6" s="1"/>
  <c r="D31" i="24"/>
  <c r="D29" i="24" s="1"/>
  <c r="F158" i="24"/>
  <c r="M20" i="24"/>
  <c r="M19" i="24" s="1"/>
  <c r="M17" i="24" s="1"/>
  <c r="J20" i="24"/>
  <c r="J19" i="24" s="1"/>
  <c r="J17" i="24" s="1"/>
  <c r="G20" i="24"/>
  <c r="G19" i="24" s="1"/>
  <c r="G17" i="24" s="1"/>
  <c r="E20" i="24"/>
  <c r="E19" i="24" s="1"/>
  <c r="D20" i="24"/>
  <c r="D19" i="24" s="1"/>
  <c r="D17" i="24" s="1"/>
  <c r="F20" i="24"/>
  <c r="F19" i="24" s="1"/>
  <c r="F17" i="24" s="1"/>
  <c r="H20" i="24"/>
  <c r="H19" i="24" s="1"/>
  <c r="H17" i="24" s="1"/>
  <c r="I20" i="24"/>
  <c r="I19" i="24" s="1"/>
  <c r="I17" i="24" s="1"/>
  <c r="K20" i="24"/>
  <c r="K19" i="24" s="1"/>
  <c r="K17" i="24" s="1"/>
  <c r="L20" i="24"/>
  <c r="L19" i="24" s="1"/>
  <c r="L17" i="24" s="1"/>
  <c r="H33" i="6"/>
  <c r="H30" i="6" s="1"/>
  <c r="D90" i="24"/>
  <c r="D82" i="24"/>
  <c r="F185" i="6"/>
  <c r="M72" i="24"/>
  <c r="D72" i="24"/>
  <c r="G125" i="24"/>
  <c r="L125" i="24"/>
  <c r="D125" i="24"/>
  <c r="F93" i="6"/>
  <c r="H21" i="6"/>
  <c r="H18" i="6" s="1"/>
  <c r="J129" i="6"/>
  <c r="J115" i="6" s="1"/>
  <c r="F60" i="6"/>
  <c r="F54" i="6"/>
  <c r="F85" i="6"/>
  <c r="H93" i="6"/>
  <c r="F117" i="6"/>
  <c r="D113" i="24"/>
  <c r="L158" i="24"/>
  <c r="M125" i="24"/>
  <c r="H125" i="24"/>
  <c r="J125" i="24"/>
  <c r="K125" i="24"/>
  <c r="E125" i="24"/>
  <c r="F125" i="24"/>
  <c r="I125" i="24"/>
  <c r="K191" i="24"/>
  <c r="D168" i="24"/>
  <c r="F137" i="24"/>
  <c r="J180" i="24"/>
  <c r="R19" i="24"/>
  <c r="R17" i="24" s="1"/>
  <c r="L186" i="24"/>
  <c r="E43" i="24"/>
  <c r="E41" i="24" s="1"/>
  <c r="H183" i="24"/>
  <c r="K155" i="24"/>
  <c r="G183" i="24"/>
  <c r="J186" i="24"/>
  <c r="E183" i="24"/>
  <c r="E158" i="24"/>
  <c r="J191" i="24"/>
  <c r="H180" i="24"/>
  <c r="H186" i="24"/>
  <c r="I186" i="24"/>
  <c r="F180" i="24"/>
  <c r="J168" i="24"/>
  <c r="D43" i="24"/>
  <c r="D41" i="24" s="1"/>
  <c r="D155" i="24"/>
  <c r="G155" i="24"/>
  <c r="H11" i="24"/>
  <c r="H10" i="24" s="1"/>
  <c r="H191" i="24"/>
  <c r="I43" i="24"/>
  <c r="I41" i="24" s="1"/>
  <c r="J90" i="24"/>
  <c r="I51" i="24"/>
  <c r="H158" i="24"/>
  <c r="M186" i="24"/>
  <c r="H144" i="24"/>
  <c r="L155" i="24"/>
  <c r="K168" i="24"/>
  <c r="I31" i="24"/>
  <c r="I29" i="24" s="1"/>
  <c r="K148" i="24"/>
  <c r="E155" i="24"/>
  <c r="E51" i="24"/>
  <c r="D137" i="24"/>
  <c r="L11" i="24"/>
  <c r="L10" i="24" s="1"/>
  <c r="J43" i="24"/>
  <c r="J41" i="24" s="1"/>
  <c r="E137" i="24"/>
  <c r="E144" i="24"/>
  <c r="H168" i="24"/>
  <c r="G43" i="24"/>
  <c r="G41" i="24" s="1"/>
  <c r="H113" i="24"/>
  <c r="E168" i="24"/>
  <c r="F82" i="24"/>
  <c r="F148" i="24"/>
  <c r="G158" i="24"/>
  <c r="D172" i="24"/>
  <c r="I11" i="24"/>
  <c r="I10" i="24" s="1"/>
  <c r="H137" i="24"/>
  <c r="L161" i="24"/>
  <c r="J148" i="24"/>
  <c r="L148" i="24"/>
  <c r="I180" i="24"/>
  <c r="I148" i="24"/>
  <c r="H161" i="24"/>
  <c r="F191" i="24"/>
  <c r="E148" i="24"/>
  <c r="M43" i="24"/>
  <c r="M41" i="24" s="1"/>
  <c r="D158" i="24"/>
  <c r="F144" i="24"/>
  <c r="H172" i="24"/>
  <c r="E186" i="24"/>
  <c r="I155" i="24"/>
  <c r="H51" i="24"/>
  <c r="K113" i="24"/>
  <c r="G113" i="24"/>
  <c r="H31" i="24"/>
  <c r="H29" i="24" s="1"/>
  <c r="I90" i="24"/>
  <c r="G137" i="24"/>
  <c r="J82" i="24"/>
  <c r="K137" i="24"/>
  <c r="F183" i="24"/>
  <c r="J161" i="24"/>
  <c r="I168" i="24"/>
  <c r="M144" i="24"/>
  <c r="F11" i="24"/>
  <c r="F10" i="24" s="1"/>
  <c r="I183" i="24"/>
  <c r="G168" i="24"/>
  <c r="E161" i="24"/>
  <c r="M82" i="24"/>
  <c r="M137" i="24"/>
  <c r="M161" i="24"/>
  <c r="J11" i="24"/>
  <c r="J10" i="24" s="1"/>
  <c r="E57" i="24"/>
  <c r="F57" i="24"/>
  <c r="K82" i="24"/>
  <c r="K31" i="24"/>
  <c r="K29" i="24" s="1"/>
  <c r="M191" i="24"/>
  <c r="E11" i="24"/>
  <c r="E10" i="24" s="1"/>
  <c r="K57" i="24"/>
  <c r="M168" i="24"/>
  <c r="E172" i="24"/>
  <c r="D183" i="24"/>
  <c r="M183" i="24"/>
  <c r="M90" i="24"/>
  <c r="F161" i="24"/>
  <c r="D186" i="24"/>
  <c r="F155" i="24"/>
  <c r="L57" i="24"/>
  <c r="M158" i="24"/>
  <c r="F43" i="24"/>
  <c r="F41" i="24" s="1"/>
  <c r="G161" i="24"/>
  <c r="J113" i="24"/>
  <c r="L172" i="24"/>
  <c r="M148" i="24"/>
  <c r="L51" i="24"/>
  <c r="E31" i="24"/>
  <c r="E29" i="24" s="1"/>
  <c r="M172" i="24"/>
  <c r="G186" i="24"/>
  <c r="L168" i="24"/>
  <c r="K158" i="24"/>
  <c r="M31" i="24"/>
  <c r="M29" i="24" s="1"/>
  <c r="D144" i="24"/>
  <c r="F113" i="24"/>
  <c r="I57" i="24"/>
  <c r="K161" i="24"/>
  <c r="H82" i="24"/>
  <c r="L90" i="24"/>
  <c r="H155" i="24"/>
  <c r="L180" i="24"/>
  <c r="F172" i="24"/>
  <c r="J144" i="24"/>
  <c r="K183" i="24"/>
  <c r="K186" i="24"/>
  <c r="K144" i="24"/>
  <c r="L144" i="24"/>
  <c r="D180" i="24"/>
  <c r="I161" i="24"/>
  <c r="H43" i="24"/>
  <c r="H41" i="24" s="1"/>
  <c r="I82" i="24"/>
  <c r="G144" i="24"/>
  <c r="G180" i="24"/>
  <c r="F168" i="24"/>
  <c r="M180" i="24"/>
  <c r="K172" i="24"/>
  <c r="H90" i="24"/>
  <c r="D148" i="24"/>
  <c r="D51" i="24"/>
  <c r="M51" i="24"/>
  <c r="I113" i="24"/>
  <c r="E191" i="24"/>
  <c r="I158" i="24"/>
  <c r="G51" i="24"/>
  <c r="G31" i="24"/>
  <c r="G29" i="24" s="1"/>
  <c r="K180" i="24"/>
  <c r="K11" i="24"/>
  <c r="K10" i="24" s="1"/>
  <c r="E180" i="24"/>
  <c r="M57" i="24"/>
  <c r="J51" i="24"/>
  <c r="H57" i="24"/>
  <c r="J31" i="24"/>
  <c r="J29" i="24" s="1"/>
  <c r="D161" i="24"/>
  <c r="G172" i="24"/>
  <c r="I137" i="24"/>
  <c r="G57" i="24"/>
  <c r="L82" i="24"/>
  <c r="J57" i="24"/>
  <c r="L137" i="24"/>
  <c r="F31" i="24"/>
  <c r="F29" i="24" s="1"/>
  <c r="E113" i="24"/>
  <c r="J158" i="24"/>
  <c r="J155" i="24"/>
  <c r="M155" i="24"/>
  <c r="G90" i="24"/>
  <c r="J137" i="24"/>
  <c r="G11" i="24"/>
  <c r="G10" i="24" s="1"/>
  <c r="F90" i="24"/>
  <c r="I144" i="24"/>
  <c r="L31" i="24"/>
  <c r="L29" i="24" s="1"/>
  <c r="F186" i="24"/>
  <c r="D57" i="24"/>
  <c r="L113" i="24"/>
  <c r="I172" i="24"/>
  <c r="F51" i="24"/>
  <c r="J172" i="24"/>
  <c r="E90" i="24"/>
  <c r="G148" i="24"/>
  <c r="I191" i="24"/>
  <c r="E82" i="24"/>
  <c r="G82" i="24"/>
  <c r="L183" i="24"/>
  <c r="K90" i="24"/>
  <c r="K43" i="24"/>
  <c r="K41" i="24" s="1"/>
  <c r="L191" i="24"/>
  <c r="J183" i="24"/>
  <c r="D191" i="24"/>
  <c r="H148" i="24"/>
  <c r="G191" i="24"/>
  <c r="L43" i="24"/>
  <c r="L41" i="24" s="1"/>
  <c r="K51" i="24"/>
  <c r="M113" i="24"/>
  <c r="M11" i="24"/>
  <c r="M10" i="24" s="1"/>
  <c r="V19" i="24"/>
  <c r="V17" i="24" s="1"/>
  <c r="Q19" i="24"/>
  <c r="Q17" i="24" s="1"/>
  <c r="T20" i="24"/>
  <c r="T113" i="24"/>
  <c r="T112" i="24" s="1"/>
  <c r="U20" i="24"/>
  <c r="W20" i="24"/>
  <c r="E177" i="3"/>
  <c r="V20" i="24"/>
  <c r="Q29" i="24"/>
  <c r="Q90" i="24"/>
  <c r="Q50" i="24" s="1"/>
  <c r="T19" i="24"/>
  <c r="T17" i="24" s="1"/>
  <c r="P29" i="24"/>
  <c r="Q113" i="24"/>
  <c r="Q112" i="24" s="1"/>
  <c r="X113" i="24"/>
  <c r="X112" i="24" s="1"/>
  <c r="U29" i="24"/>
  <c r="P19" i="24"/>
  <c r="P17" i="24" s="1"/>
  <c r="V29" i="24"/>
  <c r="R90" i="24"/>
  <c r="R50" i="24" s="1"/>
  <c r="X29" i="24"/>
  <c r="V90" i="24"/>
  <c r="V50" i="24" s="1"/>
  <c r="E72" i="24"/>
  <c r="J72" i="24"/>
  <c r="O31" i="24"/>
  <c r="O29" i="24" s="1"/>
  <c r="W113" i="24"/>
  <c r="W112" i="24" s="1"/>
  <c r="X19" i="24"/>
  <c r="X17" i="24" s="1"/>
  <c r="L165" i="3"/>
  <c r="W19" i="24"/>
  <c r="W17" i="24" s="1"/>
  <c r="AB72" i="24"/>
  <c r="AB50" i="24" s="1"/>
  <c r="AB7" i="24" s="1"/>
  <c r="H72" i="24"/>
  <c r="U90" i="24"/>
  <c r="U50" i="24" s="1"/>
  <c r="O19" i="24"/>
  <c r="O17" i="24" s="1"/>
  <c r="V113" i="24"/>
  <c r="V112" i="24" s="1"/>
  <c r="Z72" i="24"/>
  <c r="Z50" i="24" s="1"/>
  <c r="Z7" i="24" s="1"/>
  <c r="G72" i="24"/>
  <c r="I72" i="24"/>
  <c r="O90" i="24"/>
  <c r="O50" i="24" s="1"/>
  <c r="AE72" i="24"/>
  <c r="AE50" i="24" s="1"/>
  <c r="AE7" i="24" s="1"/>
  <c r="S29" i="24"/>
  <c r="O113" i="24"/>
  <c r="O112" i="24" s="1"/>
  <c r="S90" i="24"/>
  <c r="S50" i="24" s="1"/>
  <c r="W90" i="24"/>
  <c r="W50" i="24" s="1"/>
  <c r="AI72" i="24"/>
  <c r="AI50" i="24" s="1"/>
  <c r="AI7" i="24" s="1"/>
  <c r="O20" i="24"/>
  <c r="Q20" i="24"/>
  <c r="S20" i="24"/>
  <c r="W29" i="24"/>
  <c r="U113" i="24"/>
  <c r="U112" i="24" s="1"/>
  <c r="AD72" i="24"/>
  <c r="AD50" i="24" s="1"/>
  <c r="AD7" i="24" s="1"/>
  <c r="AH72" i="24"/>
  <c r="AH50" i="24" s="1"/>
  <c r="AH7" i="24" s="1"/>
  <c r="T90" i="24"/>
  <c r="T50" i="24" s="1"/>
  <c r="J152" i="3"/>
  <c r="S113" i="24"/>
  <c r="S112" i="24" s="1"/>
  <c r="P113" i="24"/>
  <c r="P112" i="24" s="1"/>
  <c r="R113" i="24"/>
  <c r="R112" i="24" s="1"/>
  <c r="U19" i="24"/>
  <c r="U17" i="24" s="1"/>
  <c r="AF72" i="24"/>
  <c r="AF50" i="24" s="1"/>
  <c r="AF7" i="24" s="1"/>
  <c r="AG72" i="24"/>
  <c r="AG50" i="24" s="1"/>
  <c r="AG7" i="24" s="1"/>
  <c r="F72" i="24"/>
  <c r="P90" i="24"/>
  <c r="P50" i="24" s="1"/>
  <c r="P20" i="24"/>
  <c r="X20" i="24"/>
  <c r="AA72" i="24"/>
  <c r="AA50" i="24" s="1"/>
  <c r="AA7" i="24" s="1"/>
  <c r="R29" i="24"/>
  <c r="R20" i="24"/>
  <c r="T29" i="24"/>
  <c r="S19" i="24"/>
  <c r="S17" i="24" s="1"/>
  <c r="AC72" i="24"/>
  <c r="AC50" i="24" s="1"/>
  <c r="AC7" i="24" s="1"/>
  <c r="L72" i="24"/>
  <c r="K72" i="24"/>
  <c r="C20" i="24"/>
  <c r="X90" i="24"/>
  <c r="X50" i="24" s="1"/>
  <c r="F141" i="6"/>
  <c r="H22" i="6"/>
  <c r="J22" i="6"/>
  <c r="F13" i="6"/>
  <c r="F11" i="6" s="1"/>
  <c r="F33" i="6"/>
  <c r="F30" i="6" s="1"/>
  <c r="M141" i="3"/>
  <c r="K165" i="3"/>
  <c r="H152" i="3"/>
  <c r="N165" i="3"/>
  <c r="L177" i="3"/>
  <c r="M28" i="3"/>
  <c r="M25" i="3" s="1"/>
  <c r="I141" i="3"/>
  <c r="I152" i="3"/>
  <c r="H141" i="3"/>
  <c r="K141" i="3"/>
  <c r="N141" i="3"/>
  <c r="K152" i="3"/>
  <c r="G152" i="3"/>
  <c r="E165" i="3"/>
  <c r="M165" i="3"/>
  <c r="H126" i="6"/>
  <c r="H92" i="6"/>
  <c r="H85" i="6" s="1"/>
  <c r="F80" i="6"/>
  <c r="E12" i="3"/>
  <c r="E28" i="3"/>
  <c r="E25" i="3" s="1"/>
  <c r="H165" i="3"/>
  <c r="F165" i="3"/>
  <c r="G165" i="3"/>
  <c r="F188" i="6"/>
  <c r="F159" i="6"/>
  <c r="N177" i="3"/>
  <c r="J141" i="3"/>
  <c r="F148" i="6"/>
  <c r="H177" i="3"/>
  <c r="F152" i="6"/>
  <c r="F162" i="6"/>
  <c r="F46" i="6"/>
  <c r="F43" i="6" s="1"/>
  <c r="F22" i="6"/>
  <c r="M16" i="3"/>
  <c r="M12" i="3" s="1"/>
  <c r="M55" i="3"/>
  <c r="M110" i="3"/>
  <c r="F176" i="6"/>
  <c r="F165" i="6"/>
  <c r="H75" i="6"/>
  <c r="F172" i="6"/>
  <c r="M89" i="3"/>
  <c r="I165" i="3"/>
  <c r="F110" i="3"/>
  <c r="G47" i="3"/>
  <c r="H110" i="3"/>
  <c r="I177" i="3"/>
  <c r="J165" i="3"/>
  <c r="L141" i="3"/>
  <c r="K177" i="3"/>
  <c r="F177" i="3"/>
  <c r="K110" i="3"/>
  <c r="F141" i="3"/>
  <c r="L47" i="3"/>
  <c r="I110" i="3"/>
  <c r="N47" i="3"/>
  <c r="J177" i="3"/>
  <c r="G177" i="3"/>
  <c r="E141" i="3"/>
  <c r="K47" i="3"/>
  <c r="M177" i="3"/>
  <c r="L110" i="3"/>
  <c r="M152" i="3"/>
  <c r="G110" i="3"/>
  <c r="G141" i="3"/>
  <c r="N152" i="3"/>
  <c r="H47" i="3"/>
  <c r="J110" i="3"/>
  <c r="N110" i="3"/>
  <c r="F47" i="3"/>
  <c r="I47" i="3"/>
  <c r="F152" i="3"/>
  <c r="E5" i="3"/>
  <c r="E152" i="3"/>
  <c r="J47" i="3"/>
  <c r="E38" i="3"/>
  <c r="F115" i="6" l="1"/>
  <c r="D50" i="24"/>
  <c r="G50" i="24"/>
  <c r="D112" i="24"/>
  <c r="F183" i="6"/>
  <c r="D154" i="24"/>
  <c r="J7" i="6"/>
  <c r="F157" i="6"/>
  <c r="F170" i="6"/>
  <c r="F146" i="6"/>
  <c r="M112" i="24"/>
  <c r="E17" i="24"/>
  <c r="E112" i="24"/>
  <c r="F112" i="24"/>
  <c r="I112" i="24"/>
  <c r="K112" i="24"/>
  <c r="L112" i="24"/>
  <c r="J112" i="24"/>
  <c r="G112" i="24"/>
  <c r="H112" i="24"/>
  <c r="D167" i="24"/>
  <c r="E167" i="24"/>
  <c r="J179" i="24"/>
  <c r="J167" i="24"/>
  <c r="H179" i="24"/>
  <c r="L143" i="24"/>
  <c r="E143" i="24"/>
  <c r="I179" i="24"/>
  <c r="L154" i="24"/>
  <c r="M179" i="24"/>
  <c r="F143" i="24"/>
  <c r="F179" i="24"/>
  <c r="G154" i="24"/>
  <c r="I143" i="24"/>
  <c r="H143" i="24"/>
  <c r="G143" i="24"/>
  <c r="K143" i="24"/>
  <c r="H167" i="24"/>
  <c r="J154" i="24"/>
  <c r="E154" i="24"/>
  <c r="H154" i="24"/>
  <c r="D143" i="24"/>
  <c r="F154" i="24"/>
  <c r="K179" i="24"/>
  <c r="K167" i="24"/>
  <c r="D179" i="24"/>
  <c r="M143" i="24"/>
  <c r="J50" i="24"/>
  <c r="M154" i="24"/>
  <c r="F167" i="24"/>
  <c r="G179" i="24"/>
  <c r="J143" i="24"/>
  <c r="I50" i="24"/>
  <c r="H50" i="24"/>
  <c r="E50" i="24"/>
  <c r="F50" i="24"/>
  <c r="G167" i="24"/>
  <c r="L50" i="24"/>
  <c r="K50" i="24"/>
  <c r="I167" i="24"/>
  <c r="M50" i="24"/>
  <c r="K154" i="24"/>
  <c r="E179" i="24"/>
  <c r="L167" i="24"/>
  <c r="I154" i="24"/>
  <c r="L179" i="24"/>
  <c r="M167" i="24"/>
  <c r="T7" i="24"/>
  <c r="R7" i="24"/>
  <c r="Q7" i="24"/>
  <c r="P7" i="24"/>
  <c r="V7" i="24"/>
  <c r="X7" i="24"/>
  <c r="U7" i="24"/>
  <c r="O7" i="24"/>
  <c r="W7" i="24"/>
  <c r="S7" i="24"/>
  <c r="H117" i="6"/>
  <c r="H115" i="6" s="1"/>
  <c r="H52" i="6"/>
  <c r="F21" i="6"/>
  <c r="F18" i="6" s="1"/>
  <c r="F52" i="6"/>
  <c r="M47" i="3"/>
  <c r="E47" i="3"/>
  <c r="H7" i="6" l="1"/>
  <c r="H7" i="24"/>
  <c r="G7" i="24"/>
  <c r="L7" i="24"/>
  <c r="K7" i="24"/>
  <c r="I7" i="24"/>
  <c r="E7" i="24"/>
  <c r="M7" i="24"/>
  <c r="F7" i="24"/>
  <c r="J7" i="24"/>
  <c r="D7" i="24"/>
  <c r="F7" i="6"/>
  <c r="E1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tc={30A591D3-2D89-4E4C-82E0-48692CDCF77C}</author>
    <author>tc={C96CFB87-FCD9-4C4F-8A94-1AB2F4D8C4F0}</author>
    <author>tc={BF17D9A6-3957-465B-95EB-5EF3729AE951}</author>
    <author>tc={4FA51B81-E324-4BF2-A161-E959EF6AD69B}</author>
    <author>tc={C80E54EC-3569-4A61-A752-21DA01CD4D78}</author>
    <author>tc={1AC5C5F8-9EB6-49DD-8EAC-3F22D3653A5C}</author>
    <author>tc={54CA8280-397D-4AA9-8694-9DC697D768CE}</author>
    <author>tc={DE1A7D42-0689-4605-B9A3-E6F82BA1C96E}</author>
    <author>tc={FDEEC342-D073-41E3-B83A-A9B68E616623}</author>
    <author>tc={9F2CF2C1-C942-480F-8419-AFA6CD9A5F5C}</author>
    <author>tc={EC49B251-9D3F-41FC-8B1F-BACB4F81E2AB}</author>
    <author>tc={9C40D827-46DA-43D3-BCED-BA44FD099B1E}</author>
    <author>tc={ACC62693-5EBF-4846-A1B0-482E816BE7F4}</author>
    <author>tc={88D18EB9-8F9F-4F2A-8E80-8C5FE1E07B10}</author>
    <author>tc={71DB551F-6D96-4F4A-9A3F-DD9D00377592}</author>
    <author>tc={92596038-F2DA-4CD2-823E-E5E0DB28D46B}</author>
    <author>tc={8A946AFE-C23D-45A0-A8BB-E7ECCDC2C5E4}</author>
    <author>tc={3A916EA7-0CAD-4B39-9D10-A437DB85A54E}</author>
    <author>tc={A0A821C5-5788-4EF5-AF41-8928D322B0F6}</author>
    <author>tc={FAFEA8F6-E2E1-41DD-93AC-DF578E04ABEA}</author>
    <author>tc={FA14C8E9-11C6-47D2-BA2F-EB9BDB612AAF}</author>
    <author>tc={450AD445-8815-4F9E-BE2C-2ABBCDC25D59}</author>
    <author>tc={3AD5EE8B-0DCC-46BD-A849-9E83EC87BEF6}</author>
    <author>tc={2EE71477-6831-45D5-9B37-2382B78F5E99}</author>
    <author>tc={5231A330-96CE-4ADE-9288-C82F02F2A2F2}</author>
    <author>tc={5DE129CD-D24B-43BA-94A2-F7D4B5C0365A}</author>
    <author>tc={F4769DBA-D1BA-428D-A2F8-DC2AEB3C6559}</author>
    <author>tc={C4F83200-E484-4E50-A357-0491D499AD64}</author>
    <author>tc={5BC6912D-C957-4E52-B2FD-CC96A813A7B2}</author>
    <author>tc={8337F195-3314-401B-99A9-6391CBF44525}</author>
    <author>tc={70104C59-6F1C-4745-ACE3-B01E5AD0084C}</author>
    <author>tc={6341F32D-5014-44E1-8929-BB6095C80628}</author>
    <author>tc={F36B7FB5-9D92-4149-B998-3A4A82756023}</author>
    <author>tc={C59668A9-F5A8-463A-AAFE-0DA7500EF1AF}</author>
    <author>tc={28E9E9A9-9826-45C3-8F6B-BBC3CDF90084}</author>
    <author>tc={F2B68352-3A96-4B9E-A687-241F5C1F6109}</author>
    <author>tc={E7E1005A-0728-4A45-BEF2-52E2089DEBA8}</author>
    <author>tc={EF22182A-751F-44A6-8E6C-CFADCE8237C1}</author>
    <author>tc={87A93421-3A5D-4F0B-B9B8-BEF2F965C8A9}</author>
    <author>tc={DC729014-A22F-4914-9BB6-2FD16FAEF69F}</author>
    <author>tc={F084E248-1B2E-45EC-B5C6-0CAF14F409DA}</author>
    <author>tc={E5915341-599D-488A-9A98-BAC216D567A7}</author>
    <author>tc={5059152A-2E51-463F-9107-76EF0ADCFB9A}</author>
    <author>tc={5B3DE018-B0C5-436B-BCE1-6D68F1F714FC}</author>
    <author>tc={B690748E-F23D-47BF-B239-0F8798176000}</author>
    <author>tc={809D2DFB-CC87-4BE4-95B1-10C458A7C3B2}</author>
    <author>tc={D6DE6A3A-A662-4394-A01E-F9A7E68863AA}</author>
  </authors>
  <commentList>
    <comment ref="C11" authorId="0" shapeId="0" xr:uid="{30A591D3-2D89-4E4C-82E0-48692CDCF77C}">
      <text>
        <t>[Threaded comment]
Your version of Excel allows you to read this threaded comment; however, any edits to it will get removed if the file is opened in a newer version of Excel. Learn more: https://go.microsoft.com/fwlink/?linkid=870924
Comment:
    The company has set a long-term target for reducing its GHG emissions in the period between 2036 and 2050.</t>
      </text>
    </comment>
    <comment ref="C12" authorId="1" shapeId="0" xr:uid="{C96CFB87-FCD9-4C4F-8A94-1AB2F4D8C4F0}">
      <text>
        <t>[Threaded comment]
Your version of Excel allows you to read this threaded comment; however, any edits to it will get removed if the file is opened in a newer version of Excel. Learn more: https://go.microsoft.com/fwlink/?linkid=870924
Comment:
    The company's long-term (2036 to 2050) GHG reduction target covers at least 95% of its Scope 1 and 2 emissions and the most relevant Scope 3 emissions (where applicable).</t>
      </text>
    </comment>
    <comment ref="C13" authorId="2" shapeId="0" xr:uid="{BF17D9A6-3957-465B-95EB-5EF3729AE951}">
      <text>
        <t>[Threaded comment]
Your version of Excel allows you to read this threaded comment; however, any edits to it will get removed if the file is opened in a newer version of Excel. Learn more: https://go.microsoft.com/fwlink/?linkid=870924
Comment:
    The company has specified that this target covers at least 95% of its total Scope 1 and 2 emissions.</t>
      </text>
    </comment>
    <comment ref="C17" authorId="3" shapeId="0" xr:uid="{4FA51B81-E324-4BF2-A161-E959EF6AD69B}">
      <text>
        <t>[Threaded comment]
Your version of Excel allows you to read this threaded comment; however, any edits to it will get removed if the file is opened in a newer version of Excel. Learn more: https://go.microsoft.com/fwlink/?linkid=870924
Comment:
    The company has set a medium-term target for reducing its GHG emissions in the period between 2027 and 2035.</t>
      </text>
    </comment>
    <comment ref="C18" authorId="4" shapeId="0" xr:uid="{C80E54EC-3569-4A61-A752-21DA01CD4D78}">
      <text>
        <t>[Threaded comment]
Your version of Excel allows you to read this threaded comment; however, any edits to it will get removed if the file is opened in a newer version of Excel. Learn more: https://go.microsoft.com/fwlink/?linkid=870924
Comment:
    The company's medium-term (2027 to 2035) GHG reduction target covers at least 95% of its Scope 1 and 2 emissions and the most relevant Scope 3 emissions (where applicable).</t>
      </text>
    </comment>
    <comment ref="C19" authorId="5" shapeId="0" xr:uid="{1AC5C5F8-9EB6-49DD-8EAC-3F22D3653A5C}">
      <text>
        <t>[Threaded comment]
Your version of Excel allows you to read this threaded comment; however, any edits to it will get removed if the file is opened in a newer version of Excel. Learn more: https://go.microsoft.com/fwlink/?linkid=870924
Comment:
    The company has specified that its medium-term GHG reduction target covers at least 95% of its total Scope 1 and 2 emissions.</t>
      </text>
    </comment>
    <comment ref="C21" authorId="6" shapeId="0" xr:uid="{54CA8280-397D-4AA9-8694-9DC697D768CE}">
      <text>
        <t>[Threaded comment]
Your version of Excel allows you to read this threaded comment; however, any edits to it will get removed if the file is opened in a newer version of Excel. Learn more: https://go.microsoft.com/fwlink/?linkid=870924
Comment:
    The company’s last disclosed carbon intensity OR its short-term targeted carbon intensity target OR the company’s expected carbon intensity derived from its medium-term GHG reduction target is aligned with or below the relevant sector trajectory needed to achieve the Paris Agreement goal of limiting global temperature increase to 1.5°C with low or no overshoot in 2035. This is equivalent to IPCC’s Special Report on the 1.5° Celsius pathway P1 or the IEA’s Net Zero Emissions by 2050 Scenario.</t>
      </text>
    </comment>
    <comment ref="C22" authorId="7" shapeId="0" xr:uid="{DE1A7D42-0689-4605-B9A3-E6F82BA1C96E}">
      <text>
        <t>[Threaded comment]
Your version of Excel allows you to read this threaded comment; however, any edits to it will get removed if the file is opened in a newer version of Excel. Learn more: https://go.microsoft.com/fwlink/?linkid=870924
Comment:
    If the company has only set an intensity GHG reduction target, it has converted it into corresponding projected absolute GHG emissions reductions.</t>
      </text>
    </comment>
    <comment ref="C24" authorId="8" shapeId="0" xr:uid="{FDEEC342-D073-41E3-B83A-A9B68E616623}">
      <text>
        <t>[Threaded comment]
Your version of Excel allows you to read this threaded comment; however, any edits to it will get removed if the file is opened in a newer version of Excel. Learn more: https://go.microsoft.com/fwlink/?linkid=870924
Comment:
    The company has set a short-term target for reducing its GHG emissions in the period between 2023 and 2026.</t>
      </text>
    </comment>
    <comment ref="C25" authorId="9" shapeId="0" xr:uid="{9F2CF2C1-C942-480F-8419-AFA6CD9A5F5C}">
      <text>
        <t>[Threaded comment]
Your version of Excel allows you to read this threaded comment; however, any edits to it will get removed if the file is opened in a newer version of Excel. Learn more: https://go.microsoft.com/fwlink/?linkid=870924
Comment:
    The company’s short-term (up to 2026) GHG reduction target covers at least 95% of its Scope 1 and 2 emissions and the most relevant Scope 3 emissions (where applicable).</t>
      </text>
    </comment>
    <comment ref="C26" authorId="10" shapeId="0" xr:uid="{EC49B251-9D3F-41FC-8B1F-BACB4F81E2AB}">
      <text>
        <t>[Threaded comment]
Your version of Excel allows you to read this threaded comment; however, any edits to it will get removed if the file is opened in a newer version of Excel. Learn more: https://go.microsoft.com/fwlink/?linkid=870924
Comment:
    The company has specified that its short-term GHG reduction target covers at least 95% of its total Scope 1 and 2 emissions.</t>
      </text>
    </comment>
    <comment ref="C30" authorId="11" shapeId="0" xr:uid="{9C40D827-46DA-43D3-BCED-BA44FD099B1E}">
      <text>
        <t>[Threaded comment]
Your version of Excel allows you to read this threaded comment; however, any edits to it will get removed if the file is opened in a newer version of Excel. Learn more: https://go.microsoft.com/fwlink/?linkid=870924
Comment:
    The company has a decarbonisation strategy that explains how it intends to meet its medium- and longterm GHG reduction targets.</t>
      </text>
    </comment>
    <comment ref="C33" authorId="12" shapeId="0" xr:uid="{ACC62693-5EBF-4846-A1B0-482E816BE7F4}">
      <text>
        <t>[Threaded comment]
Your version of Excel allows you to read this threaded comment; however, any edits to it will get removed if the file is opened in a newer version of Excel. Learn more: https://go.microsoft.com/fwlink/?linkid=870924
Comment:
    If the company chooses to employ offsetting and negative emissions technologies to meet its medium- and long-term GHG reduction targets, it discloses the quantity of offsets, type of offsets, offset certification and the negative emissions technologies it is planning to use.</t>
      </text>
    </comment>
    <comment ref="C35" authorId="13" shapeId="0" xr:uid="{88D18EB9-8F9F-4F2A-8E80-8C5FE1E07B10}">
      <text>
        <t>[Threaded comment]
Your version of Excel allows you to read this threaded comment; however, any edits to it will get removed if the file is opened in a newer version of Excel. Learn more: https://go.microsoft.com/fwlink/?linkid=870924
Comment:
    The company’s decarbonisation strategy specifies the role of climate solutions (i.e., technologies and products that will enable the economy to decarbonise*).</t>
      </text>
    </comment>
    <comment ref="C36" authorId="14" shapeId="0" xr:uid="{71DB551F-6D96-4F4A-9A3F-DD9D00377592}">
      <text>
        <t>[Threaded comment]
Your version of Excel allows you to read this threaded comment; however, any edits to it will get removed if the file is opened in a newer version of Excel. Learn more: https://go.microsoft.com/fwlink/?linkid=870924
Comment:
    The company discloses the revenue OR production it already generates from climate solutions and discloses its share in overall sales.</t>
      </text>
    </comment>
    <comment ref="C37" authorId="15" shapeId="0" xr:uid="{92596038-F2DA-4CD2-823E-E5E0DB28D46B}">
      <text>
        <t>[Threaded comment]
Your version of Excel allows you to read this threaded comment; however, any edits to it will get removed if the file is opened in a newer version of Excel. Learn more: https://go.microsoft.com/fwlink/?linkid=870924
Comment:
    The company has set a target to increase revenue OR production from climate solutions in its overall sales.</t>
      </text>
    </comment>
    <comment ref="C39" authorId="16" shapeId="0" xr:uid="{8A946AFE-C23D-45A0-A8BB-E7ECCDC2C5E4}">
      <text>
        <t>[Threaded comment]
Your version of Excel allows you to read this threaded comment; however, any edits to it will get removed if the file is opened in a newer version of Excel. Learn more: https://go.microsoft.com/fwlink/?linkid=870924
Comment:
    The company is working to decarbonise its capital expenditures.</t>
      </text>
    </comment>
    <comment ref="C40" authorId="17" shapeId="0" xr:uid="{3A916EA7-0CAD-4B39-9D10-A437DB85A54E}">
      <text>
        <t>[Threaded comment]
Your version of Excel allows you to read this threaded comment; however, any edits to it will get removed if the file is opened in a newer version of Excel. Learn more: https://go.microsoft.com/fwlink/?linkid=870924
Comment:
    The company explicitly states that it has phased out or is planning to phase out capital expenditure in new unabated carbon-intensive assets or products by a specified year.</t>
      </text>
    </comment>
    <comment ref="C41" authorId="18" shapeId="0" xr:uid="{A0A821C5-5788-4EF5-AF41-8928D322B0F6}">
      <text>
        <t>[Threaded comment]
Your version of Excel allows you to read this threaded comment; however, any edits to it will get removed if the file is opened in a newer version of Excel. Learn more: https://go.microsoft.com/fwlink/?linkid=870924
Comment:
    The company discloses the stated value of its capital expenditure that is going towards unabated carbon-intensive assets or products.</t>
      </text>
    </comment>
    <comment ref="C43" authorId="19" shapeId="0" xr:uid="{FAFEA8F6-E2E1-41DD-93AC-DF578E04ABEA}">
      <text>
        <t>[Threaded comment]
Your version of Excel allows you to read this threaded comment; however, any edits to it will get removed if the file is opened in a newer version of Excel. Learn more: https://go.microsoft.com/fwlink/?linkid=870924
Comment:
    The company discloses the stated value of its capital expenditure allocated towards climate solutions in the last reporting year. </t>
      </text>
    </comment>
    <comment ref="C44" authorId="20" shapeId="0" xr:uid="{FA14C8E9-11C6-47D2-BA2F-EB9BDB612AAF}">
      <text>
        <t>[Threaded comment]
Your version of Excel allows you to read this threaded comment; however, any edits to it will get removed if the file is opened in a newer version of Excel. Learn more: https://go.microsoft.com/fwlink/?linkid=870924
Comment:
    The company discloses the stated value of its capital expenditure that it intends to allocate towards climate solutions in the future.</t>
      </text>
    </comment>
    <comment ref="C46" authorId="21" shapeId="0" xr:uid="{450AD445-8815-4F9E-BE2C-2ABBCDC25D59}">
      <text>
        <t>[Threaded comment]
Your version of Excel allows you to read this threaded comment; however, any edits to it will get removed if the file is opened in a newer version of Excel. Learn more: https://go.microsoft.com/fwlink/?linkid=870924
Comment:
    The company commits to conducting its policy engagement activities in accordance with the goals of the Paris Agreement.</t>
      </text>
    </comment>
    <comment ref="C47" authorId="22" shapeId="0" xr:uid="{3AD5EE8B-0DCC-46BD-A849-9E83EC87BEF6}">
      <text>
        <t>[Threaded comment]
Your version of Excel allows you to read this threaded comment; however, any edits to it will get removed if the file is opened in a newer version of Excel. Learn more: https://go.microsoft.com/fwlink/?linkid=870924
Comment:
    The company has a specific public commitment/position statement to conduct all of its lobbying in line with the goals of the Paris Agreement.</t>
      </text>
    </comment>
    <comment ref="C48" authorId="23" shapeId="0" xr:uid="{2EE71477-6831-45D5-9B37-2382B78F5E99}">
      <text>
        <t>[Threaded comment]
Your version of Excel allows you to read this threaded comment; however, any edits to it will get removed if the file is opened in a newer version of Excel. Learn more: https://go.microsoft.com/fwlink/?linkid=870924
Comment:
    The company commits to advocate for Paris-aligned lobbying within the trade associations of which it is a member.</t>
      </text>
    </comment>
    <comment ref="C50" authorId="24" shapeId="0" xr:uid="{5231A330-96CE-4ADE-9288-C82F02F2A2F2}">
      <text>
        <t>[Threaded comment]
Your version of Excel allows you to read this threaded comment; however, any edits to it will get removed if the file is opened in a newer version of Excel. Learn more: https://go.microsoft.com/fwlink/?linkid=870924
Comment:
    The company reviews its own and its trade associations’ climate policy engagement positions/ activities.</t>
      </text>
    </comment>
    <comment ref="C51" authorId="25" shapeId="0" xr:uid="{5DE129CD-D24B-43BA-94A2-F7D4B5C0365A}">
      <text>
        <t>[Threaded comment]
Your version of Excel allows you to read this threaded comment; however, any edits to it will get removed if the file is opened in a newer version of Excel. Learn more: https://go.microsoft.com/fwlink/?linkid=870924
Comment:
    The company publishes a review of its climate policy positions’ alignment with the Paris Agreement and discloses how it has advocated for these positions through its climate policy engagement activities.</t>
      </text>
    </comment>
    <comment ref="C52" authorId="26" shapeId="0" xr:uid="{F4769DBA-D1BA-428D-A2F8-DC2AEB3C6559}">
      <text>
        <t>[Threaded comment]
Your version of Excel allows you to read this threaded comment; however, any edits to it will get removed if the file is opened in a newer version of Excel. Learn more: https://go.microsoft.com/fwlink/?linkid=870924
Comment:
    The company publishes a review of its trade associations’ climate positions/alignment with the Paris Agreement and discloses what actions it took as a result.</t>
      </text>
    </comment>
    <comment ref="C54" authorId="27" shapeId="0" xr:uid="{C4F83200-E484-4E50-A357-0491D499AD64}">
      <text>
        <t>[Threaded comment]
Your version of Excel allows you to read this threaded comment; however, any edits to it will get removed if the file is opened in a newer version of Excel. Learn more: https://go.microsoft.com/fwlink/?linkid=870924
Comment:
    The company’s Board has clear oversight of climate change.</t>
      </text>
    </comment>
    <comment ref="C55" authorId="28" shapeId="0" xr:uid="{5BC6912D-C957-4E52-B2FD-CC96A813A7B2}">
      <text>
        <t>[Threaded comment]
Your version of Excel allows you to read this threaded comment; however, any edits to it will get removed if the file is opened in a newer version of Excel. Learn more: https://go.microsoft.com/fwlink/?linkid=870924
Comment:
    The company discloses evidence of Board or Board committee oversight of the management of climate change risks.</t>
      </text>
    </comment>
    <comment ref="C56" authorId="29" shapeId="0" xr:uid="{8337F195-3314-401B-99A9-6391CBF44525}">
      <text>
        <t>[Threaded comment]
Your version of Excel allows you to read this threaded comment; however, any edits to it will get removed if the file is opened in a newer version of Excel. Learn more: https://go.microsoft.com/fwlink/?linkid=870924
Comment:
    The company has named a position at the Board level with responsibility for climate change.</t>
      </text>
    </comment>
    <comment ref="C57" authorId="30" shapeId="0" xr:uid="{70104C59-6F1C-4745-ACE3-B01E5AD0084C}">
      <text>
        <t>[Threaded comment]
Your version of Excel allows you to read this threaded comment; however, any edits to it will get removed if the file is opened in a newer version of Excel. Learn more: https://go.microsoft.com/fwlink/?linkid=870924
Comment:
    The company’s executive remuneration scheme incorporates climate change performance elements.</t>
      </text>
    </comment>
    <comment ref="C58" authorId="31" shapeId="0" xr:uid="{6341F32D-5014-44E1-8929-BB6095C80628}">
      <text>
        <t>[Threaded comment]
Your version of Excel allows you to read this threaded comment; however, any edits to it will get removed if the file is opened in a newer version of Excel. Learn more: https://go.microsoft.com/fwlink/?linkid=870924
Comment:
    The company’s CEO and/or at least one other senior executive’s remuneration arrangements specifically incorporate climate change performance as a Key Performance Indicator determining performance-linked compensation (references to ‘ESG’ or ‘sustainability performance’ are insufficient).</t>
      </text>
    </comment>
    <comment ref="C59" authorId="32" shapeId="0" xr:uid="{F36B7FB5-9D92-4149-B998-3A4A82756023}">
      <text>
        <t>[Threaded comment]
Your version of Excel allows you to read this threaded comment; however, any edits to it will get removed if the file is opened in a newer version of Excel. Learn more: https://go.microsoft.com/fwlink/?linkid=870924
Comment:
    The company’s CEO and/or at least one other senior executive’s remuneration arrangements incorporate progress towards achieving the company’s GHG reduction targets as a Key Performance Indicator determining performance-linked compensation.</t>
      </text>
    </comment>
    <comment ref="C60" authorId="33" shapeId="0" xr:uid="{C59668A9-F5A8-463A-AAFE-0DA7500EF1AF}">
      <text>
        <t>[Threaded comment]
Your version of Excel allows you to read this threaded comment; however, any edits to it will get removed if the file is opened in a newer version of Excel. Learn more: https://go.microsoft.com/fwlink/?linkid=870924
Comment:
    The Board has sufficient capabilities/competencies to assess and manage climate-related risks and opportunities.</t>
      </text>
    </comment>
    <comment ref="C61" authorId="34" shapeId="0" xr:uid="{28E9E9A9-9826-45C3-8F6B-BBC3CDF90084}">
      <text>
        <t>[Threaded comment]
Your version of Excel allows you to read this threaded comment; however, any edits to it will get removed if the file is opened in a newer version of Excel. Learn more: https://go.microsoft.com/fwlink/?linkid=870924
Comment:
    The company has assessed its Board’s competencies with respect to managing climate risks and opportunities and disclosed the results of this assessment.</t>
      </text>
    </comment>
    <comment ref="C62" authorId="35" shapeId="0" xr:uid="{F2B68352-3A96-4B9E-A687-241F5C1F6109}">
      <text>
        <t>[Threaded comment]
Your version of Excel allows you to read this threaded comment; however, any edits to it will get removed if the file is opened in a newer version of Excel. Learn more: https://go.microsoft.com/fwlink/?linkid=870924
Comment:
    The company provides details on the criteria it uses to assess its Board's competencies with respect to managing climate risks and opportunities, and the measures it is taking to enhance these competencies.</t>
      </text>
    </comment>
    <comment ref="C64" authorId="36" shapeId="0" xr:uid="{E7E1005A-0728-4A45-BEF2-52E2089DEBA8}">
      <text>
        <t>[Threaded comment]
Your version of Excel allows you to read this threaded comment; however, any edits to it will get removed if the file is opened in a newer version of Excel. Learn more: https://go.microsoft.com/fwlink/?linkid=870924
Comment:
    The company has committed to the principles of a Just Transition.</t>
      </text>
    </comment>
    <comment ref="C65" authorId="37" shapeId="0" xr:uid="{EF22182A-751F-44A6-8E6C-CFADCE8237C1}">
      <text>
        <t>[Threaded comment]
Your version of Excel allows you to read this threaded comment; however, any edits to it will get removed if the file is opened in a newer version of Excel. Learn more: https://go.microsoft.com/fwlink/?linkid=870924
Comment:
    The company has committed to decarbonise in line with defined Just Transition principles, recognising the social impacts of its decarbonisation efforts.</t>
      </text>
    </comment>
    <comment ref="C66" authorId="38" shapeId="0" xr:uid="{87A93421-3A5D-4F0B-B9B8-BEF2F965C8A9}">
      <text>
        <t>[Threaded comment]
Your version of Excel allows you to read this threaded comment; however, any edits to it will get removed if the file is opened in a newer version of Excel. Learn more: https://go.microsoft.com/fwlink/?linkid=870924
Comment:
    The company has committed to retain, retrain, redeploy and/or compensate workers affected by its decarbonisation efforts.</t>
      </text>
    </comment>
    <comment ref="C67" authorId="39" shapeId="0" xr:uid="{DC729014-A22F-4914-9BB6-2FD16FAEF69F}">
      <text>
        <t>[Threaded comment]
Your version of Excel allows you to read this threaded comment; however, any edits to it will get removed if the file is opened in a newer version of Excel. Learn more: https://go.microsoft.com/fwlink/?linkid=870924
Comment:
    The company has committed that new projects associated with its decarbonisation efforts are developed in consultation with affected communities and seek their consent.</t>
      </text>
    </comment>
    <comment ref="C68" authorId="40" shapeId="0" xr:uid="{F084E248-1B2E-45EC-B5C6-0CAF14F409DA}">
      <text>
        <t>[Threaded comment]
Your version of Excel allows you to read this threaded comment; however, any edits to it will get removed if the file is opened in a newer version of Excel. Learn more: https://go.microsoft.com/fwlink/?linkid=870924
Comment:
    The company has disclosed how it is planning for and monitoring progress towards a Just Transition.</t>
      </text>
    </comment>
    <comment ref="C70" authorId="41" shapeId="0" xr:uid="{E5915341-599D-488A-9A98-BAC216D567A7}">
      <text>
        <t>[Threaded comment]
Your version of Excel allows you to read this threaded comment; however, any edits to it will get removed if the file is opened in a newer version of Excel. Learn more: https://go.microsoft.com/fwlink/?linkid=870924
Comment:
    The company’s Just Transition plan was developed in consultation with workers, communities and other key stakeholders affected by its decarbonisation efforts.</t>
      </text>
    </comment>
    <comment ref="C73" authorId="42" shapeId="0" xr:uid="{5059152A-2E51-463F-9107-76EF0ADCFB9A}">
      <text>
        <t>[Threaded comment]
Your version of Excel allows you to read this threaded comment; however, any edits to it will get removed if the file is opened in a newer version of Excel. Learn more: https://go.microsoft.com/fwlink/?linkid=870924
Comment:
    The company has publicly committed to implement the recommendations of the Task Force on Climate related Financial Disclosures (TCFD).</t>
      </text>
    </comment>
    <comment ref="C74" authorId="43" shapeId="0" xr:uid="{5B3DE018-B0C5-436B-BCE1-6D68F1F714FC}">
      <text>
        <t>[Threaded comment]
Your version of Excel allows you to read this threaded comment; however, any edits to it will get removed if the file is opened in a newer version of Excel. Learn more: https://go.microsoft.com/fwlink/?linkid=870924
Comment:
    The company explicitly commits to align its disclosures with the TCFD recommendations OR it is listed as a supporter on the TCFD website.</t>
      </text>
    </comment>
    <comment ref="C75" authorId="44" shapeId="0" xr:uid="{B690748E-F23D-47BF-B239-0F8798176000}">
      <text>
        <t>[Threaded comment]
Your version of Excel allows you to read this threaded comment; however, any edits to it will get removed if the file is opened in a newer version of Excel. Learn more: https://go.microsoft.com/fwlink/?linkid=870924
Comment:
    The company explicitly sign-posts TCFD-aligned disclosures in its annual reporting or publishes them in a TCFD report.</t>
      </text>
    </comment>
    <comment ref="C76" authorId="45" shapeId="0" xr:uid="{809D2DFB-CC87-4BE4-95B1-10C458A7C3B2}">
      <text>
        <t>[Threaded comment]
Your version of Excel allows you to read this threaded comment; however, any edits to it will get removed if the file is opened in a newer version of Excel. Learn more: https://go.microsoft.com/fwlink/?linkid=870924
Comment:
    The company employs climate-scenario planning to test its strategic and operational resilience.</t>
      </text>
    </comment>
    <comment ref="C77" authorId="46" shapeId="0" xr:uid="{D6DE6A3A-A662-4394-A01E-F9A7E68863AA}">
      <text>
        <t>[Threaded comment]
Your version of Excel allows you to read this threaded comment; however, any edits to it will get removed if the file is opened in a newer version of Excel. Learn more: https://go.microsoft.com/fwlink/?linkid=870924
Comment:
    The company has conducted a climate-related scenario analysis including quantitative elements and disclosed its results.</t>
      </text>
    </comment>
  </commentList>
</comments>
</file>

<file path=xl/sharedStrings.xml><?xml version="1.0" encoding="utf-8"?>
<sst xmlns="http://schemas.openxmlformats.org/spreadsheetml/2006/main" count="3494" uniqueCount="660">
  <si>
    <t xml:space="preserve">March 2024: Net Zero Standard Oil &amp; Gas (Version 1.0) </t>
  </si>
  <si>
    <t>Welcome! This spreadsheet contains the results of the Net Zero Standard for Oil &amp; Gas (NZS O&amp;G), an assessment of the transition plans of ten European and North American Oil &amp; Gas companies conducted by the Transition Pathway Initiative Centre (TPI Centre) on behalf of Climate Action 100+. This data is designed to support investors’ engagement in this sector. 
Please see the Climate Action 100+ website climateaction100.org for further information. 
Please also refer to the Climate Action 100+ disclaimer, available below and at https://www.climateaction100.org/disclaimer</t>
  </si>
  <si>
    <t xml:space="preserve">After publication, Climate Action 100+ and its data partners do not update company data or incorporate new information into the assessments. However, this document is occasionally edited where specific technical errors have been identified.  </t>
  </si>
  <si>
    <t>Navigation</t>
  </si>
  <si>
    <t>Net Zero Standard for Oil &amp; Gas (NZS O&amp;G)</t>
  </si>
  <si>
    <t>For the most recent iteration of the Net Zero Standard for Oil and Gas, please click this link.</t>
  </si>
  <si>
    <t>Kindly be aware that this version is from April 2023. The Standard has been updated since, and a more comprehensive guidance document with the updated structure and metrics will be shared soon.</t>
  </si>
  <si>
    <t>Table of contents</t>
  </si>
  <si>
    <t>1. How the NZS works</t>
  </si>
  <si>
    <t>2. Summary</t>
  </si>
  <si>
    <t>3. Company Scorecard - Select</t>
  </si>
  <si>
    <t>4. Company Comparisons</t>
  </si>
  <si>
    <t>5. NZS O&amp;G Summary</t>
  </si>
  <si>
    <t>Navigation is also available by clicking on the &lt; &gt; arrows in the bottom left corner of Excel</t>
  </si>
  <si>
    <t xml:space="preserve">Climate Action 100+ Disclaimer </t>
  </si>
  <si>
    <t>Climate Action 100+ does not require or seek collective decision-making or action with respect to acquiring, holding, disposing and/or voting of securities.
Signatories are independent fiduciaries responsible for their own investment and voting decisions and must always act completely independently to set their own strategies, policies and practices based on their own best interests. The use of particular engagement tools and tactics, including the scope of participation in Climate Action 100+ engagements, is at the discretion of individual signatories. Climate Action 100+ facilitates the exchange of public information, but signatories must avoid the exchange (including one-way disclosure) of nonpublic, competitively sensitive information, including with other signatories, participants in engagements, Climate Action 100+ itself, and its investor networks. Even the exchange of information in the context of collaboration can give the appearance of a potentially unlawful agreement; it is important to avoid exchanging information which might result in, or appear to result in, a breach of corporate or competition law.
Signatories may not claim to represent other signatories or make statements referencing other signatories without their express consent. Any decision by signatories to take action with respect to acquiring, holding, disposing and/or voting of securities shall be at their sole discretion and made in their individual capacities and not on behalf of Climate Action 100+, its investor networks or their other signatories or members. Signatories must avoid coordination of strategic behavior between competitors that impacts or is likely to impact
competition.
Climate Action 100+ and its investor networks do not act or speak on behalf of each other or Climate Action 100+ signatories. They also do not seek directly or indirectly, either on their own or another’s behalf, the power to act as proxy for a security holder and do not furnish or otherwise request, or act on behalf of a person who furnishes or requests, a form of revocation, abstention, consent or authorization. In addition, Climate Action 100+ and the investor network entities do not provide investment or voting recommendations, and signatories are not obligated by Climate Action 100+ to make investment or voting recommendations based on the investment or voting behavior of other signatories.
Climate Action 100+ and its investor networks do not provide investment, legal, accounting or tax advice. Climate Action 100+ and its investor networks do not necessarily endorse or validate the information contained herein.
The terms of engagement, responsibilities, rights and other information contained elsewhere herein are intended to be interpreted in a manner consistent with the foregoing.</t>
  </si>
  <si>
    <t>This sheet explains how the NZS O&amp;G scores have been produced. It sets out:</t>
  </si>
  <si>
    <t xml:space="preserve">1. Structure </t>
  </si>
  <si>
    <t>2. Classification of metrics by type ("Bucketing")</t>
  </si>
  <si>
    <t xml:space="preserve">3. Aggregating metrics into sub-indicator and indicator and colour coding </t>
  </si>
  <si>
    <t>4. Status of alignment assessments</t>
  </si>
  <si>
    <t>5. How to use this workbook</t>
  </si>
  <si>
    <t>6. Full guidance document (note this document will be uploaded shortly).</t>
  </si>
  <si>
    <r>
      <t xml:space="preserve">The NZS O&amp;G comprises additional metrics which are aggregated into indicators and sub-indicators consistent with the existing structure of the CA100+ Net Zero Disclosure Framework. </t>
    </r>
    <r>
      <rPr>
        <b/>
        <sz val="10"/>
        <color rgb="FFF58220"/>
        <rFont val="Arial"/>
        <family val="2"/>
      </rPr>
      <t>NZS O&amp;G metrics</t>
    </r>
    <r>
      <rPr>
        <sz val="10"/>
        <color theme="1"/>
        <rFont val="Arial"/>
        <family val="2"/>
      </rPr>
      <t xml:space="preserve"> (shown in orange text) are aggregated either into existing CA100+ Disclosure Framework sub-indicators or in some cases form part of new sub-indicators. Using the Grouping buttons in the margin, Results can be displayed at the sub-indicator, indicator and company level.</t>
    </r>
  </si>
  <si>
    <r>
      <t xml:space="preserve">NZS O&amp;G and CA100+ Net Zero Disclosure Framework metrics are classified into the following buckets:
</t>
    </r>
    <r>
      <rPr>
        <b/>
        <sz val="10"/>
        <color theme="1"/>
        <rFont val="Arial"/>
        <family val="2"/>
      </rPr>
      <t xml:space="preserve"> - Disclosure</t>
    </r>
    <r>
      <rPr>
        <sz val="10"/>
        <color theme="1"/>
        <rFont val="Arial"/>
        <family val="2"/>
      </rPr>
      <t xml:space="preserve">: Good disclosure enables investors to make informed judgments about transition risks and opportunities. The Standard therefore aims to recognise (and ultimately encourage) good disclosure from O&amp;G companies, even where it highlights activities that are not consistent with ambitious action on climate change. Higher overall scores represents the level of disclosure about activities relevant to investors engaging with climate change in this sector
</t>
    </r>
    <r>
      <rPr>
        <b/>
        <sz val="10"/>
        <color theme="1"/>
        <rFont val="Arial"/>
        <family val="2"/>
      </rPr>
      <t xml:space="preserve"> - Alignment</t>
    </r>
    <r>
      <rPr>
        <sz val="10"/>
        <color theme="1"/>
        <rFont val="Arial"/>
        <family val="2"/>
      </rPr>
      <t xml:space="preserve">: Investors who have committed to decarbonising their portfolios and understanding their transition risks, want to test whether oil and gas companies have transition strategies aligned with net zero targets. These alignment assessments focus on forward-looking commitments and cover topics like reliance on neutralization plus upstream, operational emissions and methane targets. These forward-looking commitments are tested for their compatibility with the IEA's 1.5°C NZE scenario. Higher overall scores indicate a greater level of ambition. 
</t>
    </r>
    <r>
      <rPr>
        <b/>
        <sz val="10"/>
        <color theme="1"/>
        <rFont val="Arial"/>
        <family val="2"/>
      </rPr>
      <t xml:space="preserve"> - Climate Solutions</t>
    </r>
    <r>
      <rPr>
        <sz val="10"/>
        <color theme="1"/>
        <rFont val="Arial"/>
        <family val="2"/>
      </rPr>
      <t>: Investors increasingly recognise that the pace of decarbonisation will be constrained without accelerating investment in “climate solutions” (defined here as low-carbon technologies, infrastructure, or other activities which help displace fossil fuels). Portfolio targets ask investors to set a &lt;10-year goal for allocating investment to climate solutions. The Standard asks companies to state the definitions it uses for categories like wind and solar electricity, low carbon fuels like hydrogen and biofuels. The Standard also looks at both climate solutions inputs (capex and capacity targets) and outputs (low carbon revenue and energy production). In some cases, production or capacity commitments can be benchmarked against the relevant growth rates established in a 1.5oC scenario such as the IEA NZE. Higher overall scores here represent better disclosure of climate solutions activities and closer alignment to a 1.5</t>
    </r>
    <r>
      <rPr>
        <vertAlign val="superscript"/>
        <sz val="10"/>
        <color theme="1"/>
        <rFont val="Arial"/>
        <family val="2"/>
      </rPr>
      <t>o</t>
    </r>
    <r>
      <rPr>
        <sz val="10"/>
        <color theme="1"/>
        <rFont val="Arial"/>
        <family val="2"/>
      </rPr>
      <t>C scenario such as the IEA NZE.</t>
    </r>
  </si>
  <si>
    <t>Metrics are scored either as a binary “Yes” or “No”. Converting these scores into percentages (“Yes” = 100%, “No” = 0%) allows them to be aggregated at a (i) sub-indicator, (ii) indicator, and (iii) company level using the arithmetic mean. The percentage scores are then colour coded using the scheme set out in Exhibit 1 to allow investors to quickly locate the major outperforming and underperforming areas.</t>
  </si>
  <si>
    <t>Exhibit 2 gives an example of how metric data is aggregated to sub-indicator scores: (2*100% + 2*0%)/4 = 50%</t>
  </si>
  <si>
    <t>Exhibit 3 gives an example of how sub-indicator scores are aggregated to indicator scores: (100% + 100% + 50% +67%)/4 = 79%</t>
  </si>
  <si>
    <t>The Standard has placeholders for 16 alignment assessments which are binary tests of disclosure provided by the company against a 1.5°C scenario data (typically from the IEA NZE). Half these indicators are operational currently with research underway to develop methodologies for the remainder.</t>
  </si>
  <si>
    <t>Summary:</t>
  </si>
  <si>
    <t>This sheet presents the aggregate company scores for each metric type: Disclosure, Alignment, and Climate Solutions. Please use the provided filters to review scores for a specific company, or to sort them based on region and relative performance. Investors that wish to investigate a particular area of under- or out-performance in more granularity can view company scores at the indicator-, sub-indicator-, and metric-levels in the Company Scorecard - Select and Company Comparisons sheets.</t>
  </si>
  <si>
    <t xml:space="preserve">Company Scorecard - select: </t>
  </si>
  <si>
    <t>View a specific company's score by clicking on cell C4 in the Company Scorecard - select sheet and selecting from the drop-down menu.</t>
  </si>
  <si>
    <t>Company Comparisons:</t>
  </si>
  <si>
    <t>View and compare company scores per metric type by clicking on cell B4 in the Company Comparisons sheet and selecting from the drop-down menu.</t>
  </si>
  <si>
    <t xml:space="preserve">Please use the numbers 1, 2, or 3 at the top left margin of the spreadsheet to switch between views: </t>
  </si>
  <si>
    <t xml:space="preserve">1: collapses all the data to show just indicators (a summary view); </t>
  </si>
  <si>
    <t xml:space="preserve">2: shows both indicators and sub-indicators (to identify topics of under/out-performance); </t>
  </si>
  <si>
    <t>3: fully expands the data to display the underlying metrics driving the scores.</t>
  </si>
  <si>
    <t>Individual plus or minus signs enable groups of sub-indicators or metrics to be displayed or hidden</t>
  </si>
  <si>
    <t>NZS O&amp;G Summary</t>
  </si>
  <si>
    <t>This sheet provides the binary NZS O&amp;G scoring outcomes for all companies assessed and the full metric descriptions. It serves as an input for the other sheets in this workbook.</t>
  </si>
  <si>
    <t>Company name</t>
  </si>
  <si>
    <t>Region</t>
  </si>
  <si>
    <t>Disclosure</t>
  </si>
  <si>
    <t>Alignment</t>
  </si>
  <si>
    <t>Climate Solutions</t>
  </si>
  <si>
    <t>BP</t>
  </si>
  <si>
    <t>Europe</t>
  </si>
  <si>
    <t>Chevron</t>
  </si>
  <si>
    <t>North America</t>
  </si>
  <si>
    <t>ConocoPhillips</t>
  </si>
  <si>
    <t>Eni</t>
  </si>
  <si>
    <t>Exxon</t>
  </si>
  <si>
    <t>Oxy</t>
  </si>
  <si>
    <t>Repsol</t>
  </si>
  <si>
    <t>Shell</t>
  </si>
  <si>
    <t>Suncor</t>
  </si>
  <si>
    <t>TotalEnergies</t>
  </si>
  <si>
    <t>NZS O&amp;G COMPANY ASSESSMENT:</t>
  </si>
  <si>
    <t>CA100+ Score</t>
  </si>
  <si>
    <t>Alignment Assessment</t>
  </si>
  <si>
    <t>Total company score:</t>
  </si>
  <si>
    <t>Indicator 1: Net-Zero Ambition</t>
  </si>
  <si>
    <t>Partial</t>
  </si>
  <si>
    <t>1.1: Net-zero GHG Emissions by 2050 (Or Sooner) Ambition</t>
  </si>
  <si>
    <t>1.1.a: Qualitative Ambition Statement</t>
  </si>
  <si>
    <t>Y</t>
  </si>
  <si>
    <t>1.1.b: Ambition statement covers the most relevant GHG emissions categories</t>
  </si>
  <si>
    <t>N</t>
  </si>
  <si>
    <t/>
  </si>
  <si>
    <t>Indicator 2: Long-Term GHG Reduction Target(s)</t>
  </si>
  <si>
    <t>2.1: Company has a long-term (2036-2050) target</t>
  </si>
  <si>
    <r>
      <rPr>
        <sz val="9"/>
        <color theme="1"/>
        <rFont val="Arial"/>
        <family val="2"/>
      </rPr>
      <t>2.2</t>
    </r>
    <r>
      <rPr>
        <sz val="9"/>
        <color rgb="FF808080"/>
        <rFont val="Arial"/>
        <family val="2"/>
      </rPr>
      <t xml:space="preserve"> </t>
    </r>
    <r>
      <rPr>
        <sz val="9"/>
        <color rgb="FFF88610"/>
        <rFont val="Arial"/>
        <family val="2"/>
      </rPr>
      <t>(incl. 2.i, 2.ii)</t>
    </r>
    <r>
      <rPr>
        <sz val="9"/>
        <color theme="1"/>
        <rFont val="Arial"/>
        <family val="2"/>
      </rPr>
      <t>: Coverage of target</t>
    </r>
  </si>
  <si>
    <t>2.2.a: The long-term target covers 95% of Scope 1 &amp; 2</t>
  </si>
  <si>
    <t>2.i.a: The operational emissions pathway is aligned with a Net Zero pathway</t>
  </si>
  <si>
    <t xml:space="preserve"> </t>
  </si>
  <si>
    <t>2.2.b: The target covers the most relevant scope 3 emissions and has published the methodology</t>
  </si>
  <si>
    <t>2.ii.a: Upstream emissions target has been set including scope 3 and covering all its production</t>
  </si>
  <si>
    <t>2.ii.b: Upstream target is in-line with or below that of a Net Zero pathway</t>
  </si>
  <si>
    <r>
      <t>2.3: Carbon intensity target is aligned with 1.5</t>
    </r>
    <r>
      <rPr>
        <vertAlign val="superscript"/>
        <sz val="9"/>
        <color theme="1"/>
        <rFont val="Arial"/>
        <family val="2"/>
      </rPr>
      <t>o</t>
    </r>
    <r>
      <rPr>
        <sz val="9"/>
        <color theme="1"/>
        <rFont val="Arial"/>
        <family val="2"/>
      </rPr>
      <t>C degrees</t>
    </r>
  </si>
  <si>
    <t> </t>
  </si>
  <si>
    <t>Indicator 3: Medium-Term GHG Reduction Target(s)</t>
  </si>
  <si>
    <t>3.1: Company has a medium-term (2027-2035) target</t>
  </si>
  <si>
    <r>
      <rPr>
        <sz val="9"/>
        <rFont val="Arial"/>
        <family val="2"/>
      </rPr>
      <t>3.2</t>
    </r>
    <r>
      <rPr>
        <sz val="9"/>
        <color rgb="FFF88610"/>
        <rFont val="Arial"/>
        <family val="2"/>
      </rPr>
      <t xml:space="preserve"> (incl. 3.i, 3.ii)</t>
    </r>
    <r>
      <rPr>
        <sz val="9"/>
        <rFont val="Arial"/>
        <family val="2"/>
      </rPr>
      <t>: Coverage of target</t>
    </r>
  </si>
  <si>
    <t>3.2.a: The medium-term target covers 95% of Scope 1 and 2</t>
  </si>
  <si>
    <t>3.i.a: The operational emissions pathway is aligned with a Net Zero pathway</t>
  </si>
  <si>
    <t>3.2.b: The target covers the most relevant scope 3 emissions and has published the methodology</t>
  </si>
  <si>
    <t>3.ii.a: Upstream emissions target has been set including scope 3 and covering all its production</t>
  </si>
  <si>
    <t>3.ii.b: Upstream target is in-line with or below that of a Net Zero pathway</t>
  </si>
  <si>
    <r>
      <t>3.3: Carbon intensity target is aligned with 1.5</t>
    </r>
    <r>
      <rPr>
        <vertAlign val="superscript"/>
        <sz val="9"/>
        <rFont val="Arial"/>
        <family val="2"/>
      </rPr>
      <t>o</t>
    </r>
    <r>
      <rPr>
        <sz val="9"/>
        <rFont val="Arial"/>
        <family val="2"/>
      </rPr>
      <t>C degrees</t>
    </r>
  </si>
  <si>
    <t>3.4: Intensity is converted into projected absolute emissions reductions (Beta)</t>
  </si>
  <si>
    <t>Not Assessed</t>
  </si>
  <si>
    <t>Under development</t>
  </si>
  <si>
    <t>Indicator 4: Short-Term GHG Reduction Target(s)</t>
  </si>
  <si>
    <t>4.1: Company has a short-term (up to 2026) target</t>
  </si>
  <si>
    <t>4.2: Coverage of target</t>
  </si>
  <si>
    <t>4.2.a: The short-term target covers 95% of Scope 1 and 2</t>
  </si>
  <si>
    <t>4.2.b: It covers the most relevant scope 3 emissions and has published the methodology</t>
  </si>
  <si>
    <r>
      <t>4.3: Carbon intensity target is aligned with 1.5</t>
    </r>
    <r>
      <rPr>
        <vertAlign val="superscript"/>
        <sz val="9"/>
        <rFont val="Arial"/>
        <family val="2"/>
      </rPr>
      <t>o</t>
    </r>
    <r>
      <rPr>
        <sz val="9"/>
        <rFont val="Arial"/>
        <family val="2"/>
      </rPr>
      <t>C degrees</t>
    </r>
  </si>
  <si>
    <t xml:space="preserve">Indicator 5: Decarbonisation Strategy </t>
  </si>
  <si>
    <r>
      <rPr>
        <sz val="9"/>
        <rFont val="Arial"/>
        <family val="2"/>
      </rPr>
      <t xml:space="preserve">5.1 </t>
    </r>
    <r>
      <rPr>
        <sz val="9"/>
        <color rgb="FFF88610"/>
        <rFont val="Arial"/>
        <family val="2"/>
      </rPr>
      <t>(incl. 5.i)</t>
    </r>
    <r>
      <rPr>
        <sz val="9"/>
        <rFont val="Arial"/>
        <family val="2"/>
      </rPr>
      <t>: Company has a decarbonisation strategy</t>
    </r>
  </si>
  <si>
    <t>5.1.a: Identifies main actions to take to achieve targets</t>
  </si>
  <si>
    <t>5.1.b: Quantifies individual decarbonisation levers</t>
  </si>
  <si>
    <t>5.i.a: It quantifies contribution of individual decarbonisation separately for long- and medium-term targets</t>
  </si>
  <si>
    <t>5.i.b: It quantifies components of strategy for net zero operational emissions and interim targets</t>
  </si>
  <si>
    <t>5.1.d</t>
  </si>
  <si>
    <t>5.1.d: Company discloses abatement measures</t>
  </si>
  <si>
    <t>5.ii</t>
  </si>
  <si>
    <t>5.ii: Neutralising measures</t>
  </si>
  <si>
    <t>5.1.c: Company discloses offsets &amp; negative emissions technologies</t>
  </si>
  <si>
    <t>5.ii.a: Discloses neutralising measures separately for long- and medium-term targets</t>
  </si>
  <si>
    <t>5.ii.b: Total contribution of neutralising measures is less than 50%</t>
  </si>
  <si>
    <t>5.ii.c: Discloses contribution of CCS to long-term target</t>
  </si>
  <si>
    <t>5.ii.d: Discloses the contribution of offsets (nature-based solutions) to long-term target</t>
  </si>
  <si>
    <r>
      <t>5.ii.e: Discloses the contribution of other (technology-based) CO</t>
    </r>
    <r>
      <rPr>
        <vertAlign val="subscript"/>
        <sz val="9"/>
        <color rgb="FFF88610"/>
        <rFont val="Arial"/>
        <family val="2"/>
      </rPr>
      <t>2</t>
    </r>
    <r>
      <rPr>
        <sz val="9"/>
        <color rgb="FFF88610"/>
        <rFont val="Arial"/>
        <family val="2"/>
      </rPr>
      <t xml:space="preserve"> removal solutions to long-term target</t>
    </r>
  </si>
  <si>
    <t>5.ii.f: Discloses the contribution of third-party actions to long-term target</t>
  </si>
  <si>
    <t>5.ii.g: Discloses the contribution of CCS to medium-term target</t>
  </si>
  <si>
    <t>5.ii.h: Discloses the contribution of offsets (nature-based solutions) to medium-term target</t>
  </si>
  <si>
    <r>
      <t>5.ii.i: Discloses the contribution of other (technology-based) CO</t>
    </r>
    <r>
      <rPr>
        <vertAlign val="subscript"/>
        <sz val="9"/>
        <color rgb="FFF88610"/>
        <rFont val="Arial"/>
        <family val="2"/>
      </rPr>
      <t>2</t>
    </r>
    <r>
      <rPr>
        <sz val="9"/>
        <color rgb="FFF88610"/>
        <rFont val="Arial"/>
        <family val="2"/>
      </rPr>
      <t xml:space="preserve"> removal solutions to medium-term target  </t>
    </r>
  </si>
  <si>
    <t xml:space="preserve">5.ii.j: Discloses the contribution of third-party actions to medium-term target  </t>
  </si>
  <si>
    <t>5.ii.k: Publishes detailed information setting out its offset strategy</t>
  </si>
  <si>
    <t>5.ii.l: Publishes detailed information on all the technology-based solutions it plans to deploy</t>
  </si>
  <si>
    <t>5.ii.m: Clearly sets out its strategy for third-party actions</t>
  </si>
  <si>
    <r>
      <rPr>
        <sz val="9"/>
        <rFont val="Arial"/>
        <family val="2"/>
      </rPr>
      <t>5.2</t>
    </r>
    <r>
      <rPr>
        <sz val="9"/>
        <color rgb="FF808080"/>
        <rFont val="Arial"/>
        <family val="2"/>
      </rPr>
      <t xml:space="preserve"> </t>
    </r>
    <r>
      <rPr>
        <sz val="9"/>
        <color rgb="FFF88610"/>
        <rFont val="Arial"/>
        <family val="2"/>
      </rPr>
      <t>(incl. 5.iii)</t>
    </r>
    <r>
      <rPr>
        <sz val="9"/>
        <rFont val="Arial"/>
        <family val="2"/>
      </rPr>
      <t>: Role of climate solutions in decarbonisation strategy</t>
    </r>
  </si>
  <si>
    <t>5.2.a: Company discloses revenues/production from climate solutions</t>
  </si>
  <si>
    <t>5.2.b: It has a target to grow revenue/production from climate solutions</t>
  </si>
  <si>
    <t>5.iii.a: Discloses the definition of "climate solutions/green energy"</t>
  </si>
  <si>
    <t>5.iii.b: The definition is credible</t>
  </si>
  <si>
    <t>5.iii.c: Company has a target to grow total green energy production</t>
  </si>
  <si>
    <t>5.iii.d: The targeted green energy production trajectory is consistent with IEA NZE</t>
  </si>
  <si>
    <t>5.iii.e: Company has a quantified solar and/or wind production target</t>
  </si>
  <si>
    <t>5.iii.f: The targeted solar and/or wind production trajectory is consistent with IEA NZE</t>
  </si>
  <si>
    <t>5.iii.g: Produces guidance on total annual sales of "green energy"</t>
  </si>
  <si>
    <t>5.iv</t>
  </si>
  <si>
    <t>5.iv: Methane</t>
  </si>
  <si>
    <t>5.iv.a: Is a member of OGMP 2.0 and has made a public commitment to the "gold standard"</t>
  </si>
  <si>
    <t>5.iv.b: Discloses timeline for OGMP 2.0 Level 5 compliance</t>
  </si>
  <si>
    <t>5.iv.c: Discloses methane emissions consistent with OGMP level 5</t>
  </si>
  <si>
    <t>5.iv.d: Outlines a comprehensive methane emissions reduction strategy</t>
  </si>
  <si>
    <t>5.iv.e: Commits to zero routine flaring by 2030 and minimise non-routine flaring</t>
  </si>
  <si>
    <t>5.iv.f: Discloses a medium-term methane reduction target</t>
  </si>
  <si>
    <t>5.iv.g: Methane emissions pathway is aligned with the relevant benchmark</t>
  </si>
  <si>
    <t>5.v</t>
  </si>
  <si>
    <t>5.v: Production</t>
  </si>
  <si>
    <t>5.v.a: Company acknowledges need for substantial production reduction across the industry</t>
  </si>
  <si>
    <t>5.v.b: Gives guidance on its annual long-term oil production</t>
  </si>
  <si>
    <t>5.v.c: Gives guidance on its annual long-term gas production</t>
  </si>
  <si>
    <t>5.v.d: Gives guidance on its annual long-term combined O&amp;G production</t>
  </si>
  <si>
    <t>5.v.e: Gives guidance on its annual medium-term oil production</t>
  </si>
  <si>
    <t>5.v.f: Gives guidance on its annual medium-term gas production</t>
  </si>
  <si>
    <t>5.v.g: Gives guidance on its annual medium-term combined O&amp;G production</t>
  </si>
  <si>
    <t>5.v.h: Long-term oil production plan is consistent with IEA NZE</t>
  </si>
  <si>
    <t>5.v.i: Long-term gas production plan is consistent with IEA NZE</t>
  </si>
  <si>
    <t>5.v.j: Long-term combined O&amp;G production plan is consistent with IEA NZE</t>
  </si>
  <si>
    <t>5.v.k: Medium-term oil production plan is consistent with IEA NZE</t>
  </si>
  <si>
    <t>5.v.l: Medium-term gas production plan is consistent with IEA NZE</t>
  </si>
  <si>
    <t>5.v.m: Medium-term combined O&amp;G production plan is consistent with IEA NZE</t>
  </si>
  <si>
    <t xml:space="preserve">5.v.n: If either 5.v.h-m are No, the Company has given a reason </t>
  </si>
  <si>
    <t>5.v.o: Where oil production cuts are not aligned, breakeven costs have been given</t>
  </si>
  <si>
    <t>5.v.p: Oil breakeven cost is aligned with a Net Zero pathway</t>
  </si>
  <si>
    <t>5.v.q: Where gas production cuts are not aligned, breakeven costs are given incl. regional breakdown</t>
  </si>
  <si>
    <t>5.v.r: Gas breakeven cost is aligned with a Net Zero pathway</t>
  </si>
  <si>
    <t>Indicator 6: Capital Allocation</t>
  </si>
  <si>
    <r>
      <rPr>
        <sz val="9"/>
        <rFont val="Arial"/>
        <family val="2"/>
      </rPr>
      <t>6.1</t>
    </r>
    <r>
      <rPr>
        <sz val="9"/>
        <color rgb="FFF88610"/>
        <rFont val="Arial"/>
        <family val="2"/>
      </rPr>
      <t xml:space="preserve"> (incl. 6.i)</t>
    </r>
    <r>
      <rPr>
        <sz val="9"/>
        <rFont val="Arial"/>
        <family val="2"/>
      </rPr>
      <t>: Decarbonisation of capital expenditures (CapEx)</t>
    </r>
  </si>
  <si>
    <t>6.1.a: Commitment to phase-out carbon-intensive assets/products</t>
  </si>
  <si>
    <t>6.1.b: Disclosure of CapEx allocation to unabated carbon-intensive assets/products</t>
  </si>
  <si>
    <t>6.i.a: Discloses current and forward-looking total group capex</t>
  </si>
  <si>
    <t>6.i.b: Discloses current and forward-looking fossil fuel capex</t>
  </si>
  <si>
    <t>6.i.c: Discloses current and forward-looking upstream oil and gas capex</t>
  </si>
  <si>
    <t>6.i.d: Discloses current and forward-looking exploration capex</t>
  </si>
  <si>
    <t>6.i.e: If oil or gas production is not aligned, guidance on greenfield capex is provided</t>
  </si>
  <si>
    <t>6.i.f: If oil production is not aligned, the break-even of pre-FID oil projects is provided, ranked by cost</t>
  </si>
  <si>
    <t>6.i.g: The pre-FID gas pipeline ranked by cost is sufficiently low cost</t>
  </si>
  <si>
    <t>6.i.h: If gas production is not aligned, the break-even of pre-FID gas projects is provided, ranked by cost</t>
  </si>
  <si>
    <t>6.i.i: The pre-FID gas pipeline ranked by cost is sufficiently low cost</t>
  </si>
  <si>
    <r>
      <rPr>
        <sz val="9"/>
        <rFont val="Arial"/>
        <family val="2"/>
      </rPr>
      <t>6.2</t>
    </r>
    <r>
      <rPr>
        <sz val="9"/>
        <color rgb="FF808080"/>
        <rFont val="Arial"/>
        <family val="2"/>
      </rPr>
      <t xml:space="preserve"> </t>
    </r>
    <r>
      <rPr>
        <sz val="9"/>
        <color rgb="FFF88610"/>
        <rFont val="Arial"/>
        <family val="2"/>
      </rPr>
      <t>(incl. 6.ii)</t>
    </r>
    <r>
      <rPr>
        <sz val="9"/>
        <rFont val="Arial"/>
        <family val="2"/>
      </rPr>
      <t xml:space="preserve">: Disclosure of intended investments into climate solutions </t>
    </r>
  </si>
  <si>
    <t xml:space="preserve">6.2.a: Disclosure of stated value of past CapEx allocation to climate solutions </t>
  </si>
  <si>
    <t>6.2.b: Disclosure of stated value of future CapEx allocation to climate solutions</t>
  </si>
  <si>
    <t>6.ii.a: Discloses total current and forward-looking green production capacity capex</t>
  </si>
  <si>
    <t>6.ii.b: Discloses target to increase PV (or combined PV / wind) generation capacity</t>
  </si>
  <si>
    <t>6.ii.c: Discloses target to increase wind generation capacity</t>
  </si>
  <si>
    <t>6.ii.d: Discloses target to increase bioenergy capacity</t>
  </si>
  <si>
    <t>6.ii.e: Discloses target to increase low-carbon hydrogen capacity</t>
  </si>
  <si>
    <t>6.ii.f: The PV (/blended PV/Wind) capacity target is aligned with IEA NZE</t>
  </si>
  <si>
    <t>6.ii.g: The wind capacity target is aligned with IEA NZE</t>
  </si>
  <si>
    <t>6.ii.h: The bioenergy capacity target is consistent with IEA NZE</t>
  </si>
  <si>
    <t>6.ii.i: The low-carbon hydrogen capacity target is aligned with IEA NZE</t>
  </si>
  <si>
    <t>6.iii</t>
  </si>
  <si>
    <t>6.iii: Decarbonisation capex</t>
  </si>
  <si>
    <t>6.iii.a: Discloses current and forward-looking investment in abatement technology</t>
  </si>
  <si>
    <t>6.iii.b: Discloses total current and expected abatement capacity</t>
  </si>
  <si>
    <t xml:space="preserve">Indicator 7: Climate Policy Engagement </t>
  </si>
  <si>
    <t>7.1: Paris-aligned climate policy engagement</t>
  </si>
  <si>
    <t>7.1.a</t>
  </si>
  <si>
    <t xml:space="preserve">7.1.a: Commitment to Paris-aligned lobbying  </t>
  </si>
  <si>
    <t>7.1.b</t>
  </si>
  <si>
    <t>7.1.b: Commitment to advocate for Paris-aligned lobbying within relevant trade associations</t>
  </si>
  <si>
    <t>7.1.c</t>
  </si>
  <si>
    <t>7.1.c: Commitment to 1.5°C-aligned lobbying</t>
  </si>
  <si>
    <t>7.2: Review of climate policy engagement positions and activities</t>
  </si>
  <si>
    <t>7.2.a</t>
  </si>
  <si>
    <t>7.2.a: Published review of own policy positions' Paris-alignment and advocacy</t>
  </si>
  <si>
    <t>7.2.b</t>
  </si>
  <si>
    <t>7.2.b: Review of trade associations'  positions and consequential actions taken</t>
  </si>
  <si>
    <t>Indicator 8: Climate Governance</t>
  </si>
  <si>
    <t xml:space="preserve">8.1: Board oversight of climate change </t>
  </si>
  <si>
    <t>8.1.a: Disclosure of Board Committee oversight of climate change risks</t>
  </si>
  <si>
    <t>8.1.b: Board level position named with responsibility for climate change</t>
  </si>
  <si>
    <t>8.2: Inclusion of climate elements in executive remuneration scheme</t>
  </si>
  <si>
    <t>8.2.a: Incorporation of climate change performance as KPI for at least one senior executive</t>
  </si>
  <si>
    <t>8.2.b: Incorporation of progress on GHG reduction targets as KPI for at least one senior executive</t>
  </si>
  <si>
    <t>8.3: Board climate competencies and capabilities</t>
  </si>
  <si>
    <t>8.3.a: Assessment and reporting of Board climate competencies</t>
  </si>
  <si>
    <t>8.3.b: Criteria for assessment of Board climate competencies</t>
  </si>
  <si>
    <t>Indicator 9: Just Transition</t>
  </si>
  <si>
    <t>9.1: Commitment to Just Transition principles</t>
  </si>
  <si>
    <t xml:space="preserve">9.1.a: Commitment to decarbonise in line with Just Transition principles </t>
  </si>
  <si>
    <t>9.1.b: Commitment to workers affected by decarbonisation efforts</t>
  </si>
  <si>
    <t xml:space="preserve">9.1.c: Commitment to consult and seek consent from affected communities </t>
  </si>
  <si>
    <t xml:space="preserve">9.2: Disclosure of Just Transition planning and progress monitoring </t>
  </si>
  <si>
    <t>9.2.a: Development of Just Transition plan</t>
  </si>
  <si>
    <t>9.2.b: Just Transition plan developed in consultation with affected stakeholders</t>
  </si>
  <si>
    <t>9.2.c: Disclosure of KPIs for Just Transition plan</t>
  </si>
  <si>
    <t>Indicator 10: TCFD Disclosure</t>
  </si>
  <si>
    <t>10.1: Commitment to implementation of TCFD recommendations</t>
  </si>
  <si>
    <t>10.1.a</t>
  </si>
  <si>
    <t xml:space="preserve">10.1.a: Public alignment with TCFD recommendations </t>
  </si>
  <si>
    <t>10.1.b</t>
  </si>
  <si>
    <t>10.1.b: Sign-posting of TCFD aligned disclosures in annual reporting or publishing of TCFD report</t>
  </si>
  <si>
    <t xml:space="preserve">10.2: Climate scenario testing for strategic and operational resilience </t>
  </si>
  <si>
    <t>10.2.a</t>
  </si>
  <si>
    <t xml:space="preserve">10.2.a: Conducting and disclosing results of cllimate-related scenario analysis </t>
  </si>
  <si>
    <t>10.2.b</t>
  </si>
  <si>
    <t>10.2.b: Scenario analysis coverage and reporting</t>
  </si>
  <si>
    <t>10.i: Energy disclosure</t>
  </si>
  <si>
    <t>10.i.a</t>
  </si>
  <si>
    <t>10.i.a: Discloses all externally sold energy</t>
  </si>
  <si>
    <t>10.i.b</t>
  </si>
  <si>
    <t>10.i.b: Discloses assumptions on the sales of “nonenergy” products and impact of the exclusion</t>
  </si>
  <si>
    <t>10.i.c</t>
  </si>
  <si>
    <t>10.i.c:  Discloses assumptions on any “financial trading” volumes and the impact of the exclusion</t>
  </si>
  <si>
    <t>10.i.d</t>
  </si>
  <si>
    <t>10.i.d: Any treatment of FFE either in the stated energy figure or targets is clearly disclosed</t>
  </si>
  <si>
    <t>10.ii: Emissions disclosure</t>
  </si>
  <si>
    <t>10.ii.a</t>
  </si>
  <si>
    <t>10.ii.a: Discloses net emissions from all externally sold energy</t>
  </si>
  <si>
    <t>10.ii.b</t>
  </si>
  <si>
    <t>10.ii.b: The emissions data has been externally and independently verified</t>
  </si>
  <si>
    <t>10.ii.c</t>
  </si>
  <si>
    <t>10.ii.c: The difference between gross and net emissions is explicitly stated</t>
  </si>
  <si>
    <t>Indicator 11: Historical emissions reductions (Beta)</t>
  </si>
  <si>
    <t>11.1: Company's emission intensity is decreasing</t>
  </si>
  <si>
    <t>11.1.a: Company's emission intensity has decreased in the past year</t>
  </si>
  <si>
    <t>11.1.b: Company's emission intensity has decreased over the past three years</t>
  </si>
  <si>
    <t>11.1.c: Company's emission intensity reduction has outpaced sectoral NZ benchmark</t>
  </si>
  <si>
    <t>11.2: Discloses factors contributing to changes in historical emissions trajectory</t>
  </si>
  <si>
    <t>11.2.a: Specifies main actions driving Scope 1 and 2 emissions changes</t>
  </si>
  <si>
    <t>11.2.b: Quantifies main actions driving Scope 3 emissions changes</t>
  </si>
  <si>
    <t>11.2.c: Discloses details on retired carbon credits in previous year</t>
  </si>
  <si>
    <t>NZS O&amp;G COMPANY ASSESSMENTS:</t>
  </si>
  <si>
    <t>Region:</t>
  </si>
  <si>
    <t>EUR</t>
  </si>
  <si>
    <t>NA</t>
  </si>
  <si>
    <t>Total Company Score:</t>
  </si>
  <si>
    <t>Indicator 1: Net-zero ambition</t>
  </si>
  <si>
    <t>1.1.a</t>
  </si>
  <si>
    <t>1.1.a: Company has made a qualitative ambition statement</t>
  </si>
  <si>
    <t>1.1.b</t>
  </si>
  <si>
    <r>
      <t xml:space="preserve">2.2 </t>
    </r>
    <r>
      <rPr>
        <sz val="11"/>
        <color rgb="FFF58220"/>
        <rFont val="Arial"/>
        <family val="2"/>
      </rPr>
      <t>(incl. 2.i, 2.ii)</t>
    </r>
    <r>
      <rPr>
        <sz val="11"/>
        <rFont val="Arial"/>
        <family val="2"/>
      </rPr>
      <t>: Coverage of target</t>
    </r>
  </si>
  <si>
    <t>2.2.a</t>
  </si>
  <si>
    <t>2.i.a</t>
  </si>
  <si>
    <t>2.2.b</t>
  </si>
  <si>
    <t>2.2.b: The target covers the most relevant scope 3 and has published the methodology</t>
  </si>
  <si>
    <t>2.ii.a</t>
  </si>
  <si>
    <t>2.ii.b</t>
  </si>
  <si>
    <r>
      <t>2.3: Carbon intensity target is aligned with 1.5</t>
    </r>
    <r>
      <rPr>
        <vertAlign val="superscript"/>
        <sz val="11"/>
        <rFont val="Arial"/>
        <family val="2"/>
      </rPr>
      <t>o</t>
    </r>
    <r>
      <rPr>
        <sz val="11"/>
        <rFont val="Arial"/>
        <family val="2"/>
      </rPr>
      <t>C degrees</t>
    </r>
  </si>
  <si>
    <t>Indicator 3: Medium-term GHG Reduction Target(s)</t>
  </si>
  <si>
    <r>
      <rPr>
        <sz val="11"/>
        <rFont val="Arial"/>
        <family val="2"/>
      </rPr>
      <t>3.2 (</t>
    </r>
    <r>
      <rPr>
        <sz val="11"/>
        <color rgb="FFF88610"/>
        <rFont val="Arial"/>
        <family val="2"/>
      </rPr>
      <t>incl. 3.i, 3.ii)</t>
    </r>
    <r>
      <rPr>
        <sz val="11"/>
        <rFont val="Arial"/>
        <family val="2"/>
      </rPr>
      <t>: Coverage of target</t>
    </r>
  </si>
  <si>
    <t>3.2.a</t>
  </si>
  <si>
    <t>3.i.a</t>
  </si>
  <si>
    <t>3.2.b</t>
  </si>
  <si>
    <t>3.ii.a</t>
  </si>
  <si>
    <t>3.ii.b</t>
  </si>
  <si>
    <r>
      <t>3.3: Carbon intensity target is aligned with 1.5</t>
    </r>
    <r>
      <rPr>
        <vertAlign val="superscript"/>
        <sz val="11"/>
        <rFont val="Arial"/>
        <family val="2"/>
      </rPr>
      <t>o</t>
    </r>
    <r>
      <rPr>
        <sz val="11"/>
        <rFont val="Arial"/>
        <family val="2"/>
      </rPr>
      <t>C degrees</t>
    </r>
  </si>
  <si>
    <t>3.4: Intensity is converted into projected absolute emissions reductions</t>
  </si>
  <si>
    <t>Indicator 4: Short-term GHG Reduction Target(s)</t>
  </si>
  <si>
    <t>4.2.a</t>
  </si>
  <si>
    <t>4.2.b</t>
  </si>
  <si>
    <t>4.2.b:  It covers the most relevant scope 3 and has published the methodology</t>
  </si>
  <si>
    <r>
      <t>4.3: Carbon intensity target is aligned with 1.5</t>
    </r>
    <r>
      <rPr>
        <vertAlign val="superscript"/>
        <sz val="11"/>
        <rFont val="Arial"/>
        <family val="2"/>
      </rPr>
      <t>o</t>
    </r>
    <r>
      <rPr>
        <sz val="11"/>
        <rFont val="Arial"/>
        <family val="2"/>
      </rPr>
      <t>C degrees</t>
    </r>
  </si>
  <si>
    <r>
      <rPr>
        <sz val="11"/>
        <rFont val="Arial"/>
        <family val="2"/>
      </rPr>
      <t xml:space="preserve">5.1 </t>
    </r>
    <r>
      <rPr>
        <sz val="11"/>
        <color rgb="FFF88610"/>
        <rFont val="Arial"/>
        <family val="2"/>
      </rPr>
      <t>(incl. 5.i)</t>
    </r>
    <r>
      <rPr>
        <sz val="11"/>
        <rFont val="Arial"/>
        <family val="2"/>
      </rPr>
      <t>: Company has a decarbonisation strategy</t>
    </r>
  </si>
  <si>
    <t>5.1.a</t>
  </si>
  <si>
    <t>5.1.a: Company identifies main actions to take to achieve targets</t>
  </si>
  <si>
    <t>5.1.b</t>
  </si>
  <si>
    <t>5.1.b: It quantifies individual decarbonisation levers</t>
  </si>
  <si>
    <t>5.i.a</t>
  </si>
  <si>
    <t>5.i.b</t>
  </si>
  <si>
    <t>5.1.c</t>
  </si>
  <si>
    <t>5.ii.a</t>
  </si>
  <si>
    <t>5.ii.b</t>
  </si>
  <si>
    <t>5.ii.c</t>
  </si>
  <si>
    <t>5.ii.d</t>
  </si>
  <si>
    <t>5.ii.e</t>
  </si>
  <si>
    <r>
      <t>5.ii.e: Discloses the contribution of other (technology-based) CO</t>
    </r>
    <r>
      <rPr>
        <vertAlign val="subscript"/>
        <sz val="11"/>
        <color rgb="FFF58220"/>
        <rFont val="Arial"/>
        <family val="2"/>
      </rPr>
      <t>2</t>
    </r>
    <r>
      <rPr>
        <sz val="11"/>
        <color rgb="FFF58220"/>
        <rFont val="Arial"/>
        <family val="2"/>
      </rPr>
      <t xml:space="preserve"> removal solutions to long-term target</t>
    </r>
  </si>
  <si>
    <t>5.ii.f</t>
  </si>
  <si>
    <t>5.ii.g</t>
  </si>
  <si>
    <t>5.ii.h</t>
  </si>
  <si>
    <t>5.ii.i</t>
  </si>
  <si>
    <r>
      <t>5.ii.i: Discloses the contribution of other (technology-based) CO</t>
    </r>
    <r>
      <rPr>
        <vertAlign val="subscript"/>
        <sz val="11"/>
        <color rgb="FFF58220"/>
        <rFont val="Arial"/>
        <family val="2"/>
      </rPr>
      <t>2</t>
    </r>
    <r>
      <rPr>
        <sz val="11"/>
        <color rgb="FFF58220"/>
        <rFont val="Arial"/>
        <family val="2"/>
      </rPr>
      <t xml:space="preserve"> removal solutions to medium-term target  </t>
    </r>
  </si>
  <si>
    <t>5.ii.j</t>
  </si>
  <si>
    <t>5.ii.k</t>
  </si>
  <si>
    <t>5.ii.l</t>
  </si>
  <si>
    <t>5.ii.m</t>
  </si>
  <si>
    <r>
      <t xml:space="preserve">5.2 </t>
    </r>
    <r>
      <rPr>
        <sz val="11"/>
        <color rgb="FFF58220"/>
        <rFont val="Arial"/>
        <family val="2"/>
      </rPr>
      <t>(incl. 5.iii)</t>
    </r>
    <r>
      <rPr>
        <sz val="11"/>
        <rFont val="Arial"/>
        <family val="2"/>
      </rPr>
      <t>: Role of climate solutions in decarbonisation strategy</t>
    </r>
  </si>
  <si>
    <t>5.2.a</t>
  </si>
  <si>
    <t>5.2.b</t>
  </si>
  <si>
    <t>5.iii.a</t>
  </si>
  <si>
    <t>5.iii.b</t>
  </si>
  <si>
    <t>5.iii.c</t>
  </si>
  <si>
    <t>5.iii.d</t>
  </si>
  <si>
    <t>5.iii.e</t>
  </si>
  <si>
    <t>5.iii.f</t>
  </si>
  <si>
    <t>5.iii.g</t>
  </si>
  <si>
    <t>5.iv.a</t>
  </si>
  <si>
    <t>5.iv.b</t>
  </si>
  <si>
    <t>5.iv.c</t>
  </si>
  <si>
    <t>5.iv.d</t>
  </si>
  <si>
    <t>5.iv.e</t>
  </si>
  <si>
    <t>5.iv.f</t>
  </si>
  <si>
    <t>5.iv.g</t>
  </si>
  <si>
    <t>5.v.a</t>
  </si>
  <si>
    <t>5.v.b</t>
  </si>
  <si>
    <t>5.v.c</t>
  </si>
  <si>
    <t>5.v.d</t>
  </si>
  <si>
    <t>5.v.e</t>
  </si>
  <si>
    <t>5.v.f</t>
  </si>
  <si>
    <t>5.v.g</t>
  </si>
  <si>
    <t>5.v.h</t>
  </si>
  <si>
    <t>5.v.i</t>
  </si>
  <si>
    <t>5.v.j</t>
  </si>
  <si>
    <t>5.v.k</t>
  </si>
  <si>
    <t>5.v.l</t>
  </si>
  <si>
    <t>5.v.m</t>
  </si>
  <si>
    <t>5.v.n</t>
  </si>
  <si>
    <t>5.v.o</t>
  </si>
  <si>
    <t>5.v.p</t>
  </si>
  <si>
    <t>5.v.q</t>
  </si>
  <si>
    <t>5.v.r</t>
  </si>
  <si>
    <r>
      <rPr>
        <sz val="11"/>
        <rFont val="Arial"/>
        <family val="2"/>
      </rPr>
      <t>6.1</t>
    </r>
    <r>
      <rPr>
        <sz val="11"/>
        <color rgb="FF808080"/>
        <rFont val="Arial"/>
        <family val="2"/>
      </rPr>
      <t xml:space="preserve"> </t>
    </r>
    <r>
      <rPr>
        <sz val="11"/>
        <color rgb="FFF88610"/>
        <rFont val="Arial"/>
        <family val="2"/>
      </rPr>
      <t>(incl. 6.i)</t>
    </r>
    <r>
      <rPr>
        <sz val="11"/>
        <rFont val="Arial"/>
        <family val="2"/>
      </rPr>
      <t>: Decarbonisation of capital expenditures (CapEx)</t>
    </r>
  </si>
  <si>
    <t>6.1.a</t>
  </si>
  <si>
    <t>6.1.b</t>
  </si>
  <si>
    <t>6.i.a</t>
  </si>
  <si>
    <t>6.i.b</t>
  </si>
  <si>
    <t>6.i.c</t>
  </si>
  <si>
    <t>6.i.d</t>
  </si>
  <si>
    <t>6.i.e</t>
  </si>
  <si>
    <t>6.i.f</t>
  </si>
  <si>
    <t>6.i.g</t>
  </si>
  <si>
    <t>6.i.h</t>
  </si>
  <si>
    <t>6.i.i</t>
  </si>
  <si>
    <r>
      <rPr>
        <sz val="11"/>
        <rFont val="Arial"/>
        <family val="2"/>
      </rPr>
      <t>6.2</t>
    </r>
    <r>
      <rPr>
        <sz val="11"/>
        <color rgb="FF808080"/>
        <rFont val="Arial"/>
        <family val="2"/>
      </rPr>
      <t xml:space="preserve"> </t>
    </r>
    <r>
      <rPr>
        <sz val="11"/>
        <color rgb="FFF88610"/>
        <rFont val="Arial"/>
        <family val="2"/>
      </rPr>
      <t>(incl. 6.ii)</t>
    </r>
    <r>
      <rPr>
        <sz val="11"/>
        <rFont val="Arial"/>
        <family val="2"/>
      </rPr>
      <t xml:space="preserve">: Disclosure of intended investments into climate solutions </t>
    </r>
  </si>
  <si>
    <t>6.2.a</t>
  </si>
  <si>
    <t>6.2.b</t>
  </si>
  <si>
    <t>6.ii.a</t>
  </si>
  <si>
    <t>6.ii.b</t>
  </si>
  <si>
    <t>6.ii.c</t>
  </si>
  <si>
    <t>6.ii.d</t>
  </si>
  <si>
    <t>6.ii.e</t>
  </si>
  <si>
    <t>6.ii.f</t>
  </si>
  <si>
    <t>6.ii.g</t>
  </si>
  <si>
    <t>6.ii.h</t>
  </si>
  <si>
    <t>6.ii.i</t>
  </si>
  <si>
    <t>6.iii.a</t>
  </si>
  <si>
    <t>6.iii.a Discloses current and forward-looking investment in abatement technology</t>
  </si>
  <si>
    <t>6.iii.b</t>
  </si>
  <si>
    <t>6.iii.b Discloses current total current and expected abatement capacity</t>
  </si>
  <si>
    <t>8.1.a</t>
  </si>
  <si>
    <t>8.1.b</t>
  </si>
  <si>
    <t>8.2.a</t>
  </si>
  <si>
    <t>8.2.b</t>
  </si>
  <si>
    <t>8.3.a</t>
  </si>
  <si>
    <t>8.3.b</t>
  </si>
  <si>
    <t>9.1.a</t>
  </si>
  <si>
    <t>9.1.b</t>
  </si>
  <si>
    <t>9.1.c</t>
  </si>
  <si>
    <t>9.2.a</t>
  </si>
  <si>
    <t>9.2.b</t>
  </si>
  <si>
    <t>9.2.c</t>
  </si>
  <si>
    <t>10.i</t>
  </si>
  <si>
    <t>10.ii</t>
  </si>
  <si>
    <t>Indicator/Sub-Indicator/Metric</t>
  </si>
  <si>
    <t>Metric Type</t>
  </si>
  <si>
    <t>Net zero Commitment</t>
  </si>
  <si>
    <t>NZSfO&amp;G score for Indicator 1</t>
  </si>
  <si>
    <t>Long term emission targets</t>
  </si>
  <si>
    <t>NZSfO&amp;G score for indicator 2</t>
  </si>
  <si>
    <r>
      <t xml:space="preserve">2.2 </t>
    </r>
    <r>
      <rPr>
        <b/>
        <sz val="9"/>
        <color rgb="FFF58220"/>
        <rFont val="Arial"/>
        <family val="2"/>
      </rPr>
      <t>(incl. 2.i, 2.ii)</t>
    </r>
    <r>
      <rPr>
        <b/>
        <sz val="9"/>
        <color theme="1"/>
        <rFont val="Arial"/>
        <family val="2"/>
      </rPr>
      <t>: Long-term GHG reduction target coverage</t>
    </r>
  </si>
  <si>
    <t xml:space="preserve">2.i.a Is the operational emissions pathway implied by (2/3.2a) aligned with NZ as defined by the relevant sectoral emissions pathway? </t>
  </si>
  <si>
    <t xml:space="preserve">2.ii.a Has the company disclosed an upstream emissions target including scope 3 and covering all its production? </t>
  </si>
  <si>
    <t>2.ii.b Is the upstream target in-line or below that of a net zero pathway?</t>
  </si>
  <si>
    <t>Med term emission targets</t>
  </si>
  <si>
    <t>NZSfO&amp;G score for indicator 3</t>
  </si>
  <si>
    <r>
      <t xml:space="preserve">3.2 </t>
    </r>
    <r>
      <rPr>
        <b/>
        <sz val="9"/>
        <color rgb="FFF58220"/>
        <rFont val="Arial"/>
        <family val="2"/>
      </rPr>
      <t>(incl. 3.i, 3.ii)</t>
    </r>
    <r>
      <rPr>
        <b/>
        <sz val="9"/>
        <color theme="1"/>
        <rFont val="Arial"/>
        <family val="2"/>
      </rPr>
      <t>: Medium-term (2027-2035) GHG Reduction Target(s) emissions coverage</t>
    </r>
  </si>
  <si>
    <t xml:space="preserve">3.i.a Is the operational emissions pathway implied by (3/3.3a) aligned with NZ as defined by the relevant sectoral emissions pathway? </t>
  </si>
  <si>
    <t>3.2.b: Coverage of Scope 3 GHG categories</t>
  </si>
  <si>
    <t xml:space="preserve">3.ii.a Has the company disclosed an upstream emissions target including scope 3 and covering all its production? </t>
  </si>
  <si>
    <t>3.ii.b Is the upstream target in-line or below that of a net zero pathway?</t>
  </si>
  <si>
    <t>Short term target</t>
  </si>
  <si>
    <t>NZSfO&amp;G score for indicator 4</t>
  </si>
  <si>
    <t>Strategy</t>
  </si>
  <si>
    <t>NZSfO&amp;G score for indicator 5</t>
  </si>
  <si>
    <r>
      <t xml:space="preserve">5.1 </t>
    </r>
    <r>
      <rPr>
        <b/>
        <sz val="9"/>
        <color rgb="FFF58220"/>
        <rFont val="Arial"/>
        <family val="2"/>
      </rPr>
      <t>(incl. 5.i)</t>
    </r>
    <r>
      <rPr>
        <b/>
        <sz val="9"/>
        <color theme="1"/>
        <rFont val="Arial"/>
        <family val="2"/>
      </rPr>
      <t>: Decarbonisation strategy (Target Delivery)</t>
    </r>
  </si>
  <si>
    <t>5.1.a: Action identification for target delivery</t>
  </si>
  <si>
    <t>5.1.b: Quantification of decarbonisation levers</t>
  </si>
  <si>
    <t>5.i.a The quantified contribution of individual decarbonisation levers specified in 5.1.b is shown separately for Long- and Medium-Term targets</t>
  </si>
  <si>
    <t>5.i.b The company has set out a strategy for reaching net zero operational emissions and interim targets that includes the quantification of the major components such as the increasing use of green energy, neutralising measures (eg CCS) and reductions in methane</t>
  </si>
  <si>
    <t>5.1.d: Disclosure of abatement measures</t>
  </si>
  <si>
    <t>5.ii Neutralising measures</t>
  </si>
  <si>
    <t>5.1.c: Disclosure of offsets &amp; negative emissions technologies</t>
  </si>
  <si>
    <t>5.ii.a The company discloses the total contribution of neutralising measures to the target (in MtCO2e) in 5.1.c separately for Long- and Medium-Term Targets</t>
  </si>
  <si>
    <t>5.ii.b The total contribution of neutralising measures is less than 50%</t>
  </si>
  <si>
    <t>5.ii.c The company discloses the contribution of CCS to long-term targets in either % or CO2 as appropriate</t>
  </si>
  <si>
    <t>5.ii.d The company discloses the contribution of offsets (nature-based solutions) to long-term emission targets in either % or CO2 as appropriate</t>
  </si>
  <si>
    <t xml:space="preserve">5.ii.e Where the company has mentioned it will rely on other (technology-based) Carbon Dioxide Removal solutions such as BECCS and DACCS to long-term emission targets, it has fully disclosed the contribution of in either % or CO2 as appropriate  </t>
  </si>
  <si>
    <t>DIsclosure</t>
  </si>
  <si>
    <t>5.ii.f The company discloses the contributions of actions by third parties to long-term emission targets in both % or CO2 as appropriate (even when that contribution is zero)</t>
  </si>
  <si>
    <t>5.ii.g The company discloses the contribution of CCS to medium-term targets in either % or CO2 as appropriate</t>
  </si>
  <si>
    <t>5.ii.h The company discloses the contribution of offsets (nature-based solutions) to medium-term emission targets in either % or CO2 as appropriate</t>
  </si>
  <si>
    <t xml:space="preserve">5.ii.i Where the company has mentioned it will rely on other (technology-based) Carbon Dioxide Removal solutions such as BECCS and DACCS to medium-term emission targets, it has fully disclosed the contribution of in either % or CO2 as appropriate  </t>
  </si>
  <si>
    <t>5.ii.j The company discloses the contributions of actions by third parties to medium-term emission targets in both % or CO2 as appropriate (even when that contribution is zero)</t>
  </si>
  <si>
    <t>5.ii.k The company publishes detailed information setting out its offset strategy, specifying the costs ($tonne and total assumptions), accounting approach, type, mix, storage, and provider</t>
  </si>
  <si>
    <t>5.ii.l The company publishes detailed information on all the technology solutions it is planning to deploy (CCUS/BECCS/DACCS) specifying the amount it intends to invest and the expected timing for operational availability</t>
  </si>
  <si>
    <t>5.ii.m The company has clearly set out the actions it is expecting others to take, how it will account for them, etc.</t>
  </si>
  <si>
    <r>
      <t xml:space="preserve">5.2 </t>
    </r>
    <r>
      <rPr>
        <b/>
        <sz val="9"/>
        <color rgb="FFF58220"/>
        <rFont val="Arial"/>
        <family val="2"/>
      </rPr>
      <t>(incl. 5.iii)</t>
    </r>
    <r>
      <rPr>
        <b/>
        <sz val="9"/>
        <color theme="1"/>
        <rFont val="Arial"/>
        <family val="2"/>
      </rPr>
      <t>: Role of climate solutions in decarbonisation strategy</t>
    </r>
  </si>
  <si>
    <t xml:space="preserve">5.2.a: Disclosure of revenue/production from climate solutions </t>
  </si>
  <si>
    <t>5.2.b: Target setting for increased revenue/production from climate solutions</t>
  </si>
  <si>
    <t>5.iii.a The company has set out a definition of "climate solutions/green energy" that it uses to consistently report both investment in low carbon energy production, increases in production capacity, output, and revenues as well as sales of low carbon energy</t>
  </si>
  <si>
    <t xml:space="preserve">5.iii.b The definition of "climate solutions/green energy" excludes unabated fossil fuel-based products and for fuels like hydrogen and bioenergy references emission thresholds consistent with established taxonomies  </t>
  </si>
  <si>
    <t>5.iii.c The company has set a target to grow total green energy production (in TJ or KWh, see paragraph 97, from investment in new capacity + long-term PPAs) with at least ST and MT target components and established base year and base year values</t>
  </si>
  <si>
    <t>5.iii.d The targeted growth in total green energy production (ST + MT trajectory) is consistent with 1.5° scenario as modelled by the IEA</t>
  </si>
  <si>
    <t>5.iii.e The company has set a quantified target (target/base year and values) to grow solar AND/OR wind energy production (measured in TWh or GJ)</t>
  </si>
  <si>
    <t>5.iii.f The targeted growth in solar AND/OR wind energy production (ST + MT trajectory) is consistent with IEA's NZE 1.5  scenario</t>
  </si>
  <si>
    <t>5.iii.g The company has given guidance on total annual sales of "green energy" (in TJ or TWh) for the year specified in its long-term emissions target (i.e. sales from investing in generation capacity/PPAs or from green energy generated by third parties)</t>
  </si>
  <si>
    <t>5.iii.h The company has given guidance on total annual sales of "green energy" (in TJ or TWh) for the year specified in its medium-term emissions target (i.e. sales from investing in generation capacity/PPAs or from green energy generated by third parties)</t>
  </si>
  <si>
    <t>5.iv Methane</t>
  </si>
  <si>
    <t>5.iv.a Is a member of OGMP 2.0 and has made a public commitment to the "gold standard" of constant improvements in methane reporting covering all assets in-line with this initiative</t>
  </si>
  <si>
    <t>5.iv.b It has explicitly set out the date when, consistent with OGMP membership commitments (i.e. within three years of it becoming a member), it will publish an independent and externally verified assessment of its methane emissions which integrates direct measurement with estimations (OGMP level 5)</t>
  </si>
  <si>
    <t>5.iv.c Methane emissions are disclosed consistent with OGMP level 5, both on an absolute basis (in metric tonnes) and intensity basis (in tCH4 per PJ of total upstream production). An additional energy-based denominator should be disclosed for mid-stream or distribution companies as appropriate. The denominator of any intensity target should be clearly disclosed</t>
  </si>
  <si>
    <t>5.iv.d The strategy to reduce methane emissions is clearly stated and references the contribution of AND action on emission sources (venting, flaring and leaks), AND prioritisation, AND coverage, AND the use of best available measurement technology</t>
  </si>
  <si>
    <t>5.iv.e The company commits to zero routine flaring by 2030 in line with World Bank and UN initiative [29] and minimise non-routine flaring</t>
  </si>
  <si>
    <t>5.iv.f Company has set a medium-term methane emissions reductions target stating a base year, base year value, target year, target year reduction with both absolute and intensity values and an interim milestone</t>
  </si>
  <si>
    <t>5.iv.g The methane emissions pathway indicated in f) is aligned with the relevant benchmark</t>
  </si>
  <si>
    <t>5.v Production</t>
  </si>
  <si>
    <t>5.v.a The company acknowledges the need for substantial reductions in fossil fuel production across the industry by 2050 and that those reductions need to begin before 2030, particularly for oil</t>
  </si>
  <si>
    <t>5.v.b Gives guidance on its annual long-term oil production (for the year specified in its long-term emissions target), expressed either in energy units (boe/TJ) or as a  a % or absolute change from a stated base year value</t>
  </si>
  <si>
    <t>5.v.c Gives guidance on its annual long-term gas production (for the year specified in its long-term emissions target), expressed either in energy units (boe/TJ) or as a  a % or absolute change from a stated base year value</t>
  </si>
  <si>
    <t xml:space="preserve">5.v.d Gives guidance on annual combined long-term oil and gas production (for the year specified in its long-term emissions target), expressed either in energy unites (boe or TJ) or as a % or absolute change from a stated base year value </t>
  </si>
  <si>
    <t>5.v.e Gives guidance on its annual medium-term oil production (for the year specified in its medium-term emissions target), expressed either in energy units (boe/TJ) or as a  a % or absolute change from a stated base year value</t>
  </si>
  <si>
    <t>5.v.f Gives guidance on its annual medium-term gas production (for the year specified in its medium-term emissions target), expressed either in energy units (boe/TJ) or as a  a % or absolute change from a stated base year value</t>
  </si>
  <si>
    <t xml:space="preserve">5.v.g Gives guidance on annual combined medium-term oil and gas production (for the year specified in its long-term emissions target), expressed either in energy unites (boe or TJ) or as a % or absolute change from a stated base year value </t>
  </si>
  <si>
    <t xml:space="preserve">5.v.h Is the long-term production plan for oil consistent with the IEA NZE (-22% by 2030 and -78% by 2050 from 2019 levels) </t>
  </si>
  <si>
    <t>5.v.i Is the long-term production plan for gas consistent with the IEA NZE (-15% by 2030 and -77% by 2050 from 2019 levels)</t>
  </si>
  <si>
    <t>5.v.j Is the long-term combined annual production plan for gas and oil consistent with the IEA NZE (-19% by 2030 and  -77% by 2050 from 2019 levels, assuming a 50% split)</t>
  </si>
  <si>
    <t xml:space="preserve">5.v.k Is the medium-term production plan for oil consistent with the IEA NZE  (-22% by 2030 and -78% by 2050 from 2019 levels) </t>
  </si>
  <si>
    <t>5.v.l Is the medium-term production plan for gas consistent with the IEA NZE (-15% by 2030 and -77% by 2050 from 2019 levels)</t>
  </si>
  <si>
    <t>5.v.m Is the medium-term combined annual production plan for gas and oil consistent with the IEA NZE (-19% by 2030 and -77% by 2050 from 2019 levels, assuming a 50% split)</t>
  </si>
  <si>
    <t>5.v.n If either 5.v.h-m are No, has the company given a reason?</t>
  </si>
  <si>
    <t xml:space="preserve">5.v.o If the oil pathway is not aligned with NZE (5.v.h/k is No) the company has stated an average breakeven cost of its currently sanctioned oil production ($ per barrel) </t>
  </si>
  <si>
    <t>5.v.p The average breakeven cost of its currently sanctioned Oil production ($ per barrel) is consistent with a net zero scenario</t>
  </si>
  <si>
    <t>5.v.q If the gas pathway is not aligned with NZE (5.v.i or 5.v.l is No) has the company given guidance on an average breakeven cost of its currently sanctioned gas production ($ per barrel) including a relevant regional breakdown</t>
  </si>
  <si>
    <t>5.v.r The average breakeven cost of its currently sanctioned gas production ($ per barrel) is consistent with a net zero scenario</t>
  </si>
  <si>
    <t>Capital allocation</t>
  </si>
  <si>
    <t>NZSfO&amp;G score for indicator 6</t>
  </si>
  <si>
    <r>
      <t>6.1</t>
    </r>
    <r>
      <rPr>
        <b/>
        <sz val="9"/>
        <color rgb="FFF58220"/>
        <rFont val="Arial"/>
        <family val="2"/>
      </rPr>
      <t xml:space="preserve"> (incl. 6.i)</t>
    </r>
    <r>
      <rPr>
        <b/>
        <sz val="9"/>
        <color theme="1"/>
        <rFont val="Arial"/>
        <family val="2"/>
      </rPr>
      <t>: Decarbonisation of capital expenditures (CapEx)</t>
    </r>
  </si>
  <si>
    <t>6.i.a The company discloses total group capex in both the last financial year and a forward-looking guidance (minimum 3 years ahead and specifying the number of years included)</t>
  </si>
  <si>
    <t>6.i.b The company discloses capex in all fossil fuel activities in both the last financial year and a forward-looking guidance (minimum 3 years ahead)</t>
  </si>
  <si>
    <t xml:space="preserve">6.i.c The company discloses upstream oil and gas capex in the last financial year and a forward-looking guidance (minimum 3 years ahead) </t>
  </si>
  <si>
    <t xml:space="preserve">6.i.d The company discloses exploration capex (i.e. non-maintenance of existing oil and gas facilities) in the last financial year and a forward-looking guidance (minimum three years ahead). </t>
  </si>
  <si>
    <t xml:space="preserve">6.i.e If production decline is not consistent with IEA NZE the company discloses current and forward-looking guidance on long-lived greenfield capex  </t>
  </si>
  <si>
    <t>6.i.f If reductions in oil production (if either 5.v.h or 5.v.k is scored as "No") are not consistent with IEA NZE, the company has disclosed the estimated breakeven cost of all pre final investment decision (FID) oil pipeline ranked by cost</t>
  </si>
  <si>
    <t>6.i.g Is the pre-FID oil pipeline ranked by cost sufficiently low cost?</t>
  </si>
  <si>
    <t>6.i.h If reductions in gas production are not consistent with IEA NZE (if either 5.v.i or 5.v.l is scored as "No"), the company has disclosed the estimated breakevem cost of all pre FID gas pipeline ranked by cost</t>
  </si>
  <si>
    <t>6.i.i Is the pre-FID gas pipeline ranked by cost sufficiently low cost?</t>
  </si>
  <si>
    <r>
      <t xml:space="preserve">6.2 </t>
    </r>
    <r>
      <rPr>
        <b/>
        <sz val="9"/>
        <color rgb="FFF58220"/>
        <rFont val="Arial"/>
        <family val="2"/>
      </rPr>
      <t>(incl. 6.ii)</t>
    </r>
    <r>
      <rPr>
        <b/>
        <sz val="9"/>
        <color theme="1"/>
        <rFont val="Arial"/>
        <family val="2"/>
      </rPr>
      <t xml:space="preserve">: Disclosure of intended investments into climate solutions </t>
    </r>
  </si>
  <si>
    <t>6.ii.a The company discloses total investment in “green” energy production in both the last financial year and a forward-looking guidance (minimum three years ahead) where “green” is clearly defined and consistent with the one used in indicator 5</t>
  </si>
  <si>
    <t>6.ii.b The company discloses a target to increase PV (or combined PV / wind) generation capacity from a stated base year and value</t>
  </si>
  <si>
    <t>6.ii.c The company discloses a target to increase wind generation capacity from a stated base year and value</t>
  </si>
  <si>
    <t>6.ii.d The company discloses a target to increase bioenergy production capacity from a specified base year and value</t>
  </si>
  <si>
    <t>6.ii.e The company discloses target to increase low-carbon hydrogen production capacity from a specified base year and value</t>
  </si>
  <si>
    <t>6.ii.f Is the PV (/blended PV/Wind) capacity target consistent w/IEA NZE?</t>
  </si>
  <si>
    <t>6.ii.g Is the wind production capacity target (6.ii.c) consistent w/IEA NZE?</t>
  </si>
  <si>
    <t>6.ii.h Is the bioenergy capacity target (6.ii.d) consistent w/IEA NZE?</t>
  </si>
  <si>
    <t>6.ii.i Is the low-carbon hydrogen capacity target (6.ii.e) consistent w/IEA NZE?</t>
  </si>
  <si>
    <t>6.iii Decarbonisation capex</t>
  </si>
  <si>
    <t>6.iii.a The company discloses investment (including any capitalised R&amp;D) in all appropriate abatement technology in most recent financial year and a forward-looking guidance (min. 3 yrs ahead)</t>
  </si>
  <si>
    <t xml:space="preserve">6.iii.b The company discloses the total current abatement capacity and expected capacity at the end of the investment (such that the increase can be calculated) </t>
  </si>
  <si>
    <t>Policy</t>
  </si>
  <si>
    <t>NZSfO&amp;G score for indicator 7</t>
  </si>
  <si>
    <t>Climate governance</t>
  </si>
  <si>
    <t>NZSfO&amp;G score for indicator 8</t>
  </si>
  <si>
    <t>Just transition</t>
  </si>
  <si>
    <t>NZSfO&amp;G score for indicator 9</t>
  </si>
  <si>
    <t>TCFD disclosure</t>
  </si>
  <si>
    <t>NZSfO&amp;G score for indicator 10</t>
  </si>
  <si>
    <t>10.i Energy disclosure</t>
  </si>
  <si>
    <t xml:space="preserve">10.i.a Disclose all externally sold energy. This should be a comprehensive metric covering all forms of energy sales on both an equity and operational boundary and on a primary basis with no fossil fuel equivalent (FFE) adjustments and exclude non-energy and financial trading. </t>
  </si>
  <si>
    <t>10.i.b Assumptions on the sales of “nonenergy” products and the impact of the exclusion are disclosed</t>
  </si>
  <si>
    <t>10.i.c Assumptions on any “financial trading” volumes and the impact of the exclusion should be disclosed</t>
  </si>
  <si>
    <t>10.i.d Any treatment of FFE either in the stated energy figure or targets is clearly disclosed</t>
  </si>
  <si>
    <t>10.ii Emissions disclosure</t>
  </si>
  <si>
    <t>10.ii.a Disclose net emissions from all externally sold energy. This should be disclosed on the same (comprehensive) footprint used for energy covering all emission scopes and greenhouse gases (methane, as well as CO2). To enhance the credibility of emissions data, it should be verified by independent and external advisors.</t>
  </si>
  <si>
    <t>10.ii.b The emissions data has been externally and independently verified</t>
  </si>
  <si>
    <t>10.ii.c The difference between gross and net emissions is explicitly stated</t>
  </si>
  <si>
    <t>NZS O&amp;G Binary Scores</t>
  </si>
  <si>
    <t>CA100+ 
Indicator</t>
  </si>
  <si>
    <t>NZS O&amp;G Metric</t>
  </si>
  <si>
    <t>Metric Text</t>
  </si>
  <si>
    <t># Yes'</t>
  </si>
  <si>
    <t xml:space="preserve">Net-zero GHG Emissions by 2050 (or sooner) ambition </t>
  </si>
  <si>
    <t>Long-term (2036-2050) GHG reduction target(s)</t>
  </si>
  <si>
    <t>i)</t>
  </si>
  <si>
    <t xml:space="preserve">Is the operational emissions pathway implied by 2.2.a aligned with NZ as defined by the relevant sectoral emissions pathway? </t>
  </si>
  <si>
    <t>ii)</t>
  </si>
  <si>
    <t xml:space="preserve">Has the company disclosed an upstream emissions target including scope 3 and covering all its production? </t>
  </si>
  <si>
    <t>Not applicable</t>
  </si>
  <si>
    <t>Is the upstream target in-line with or below that of a net zero pathway?</t>
  </si>
  <si>
    <t>Medium-term (2027-2035) GHG reduction target(s)</t>
  </si>
  <si>
    <t xml:space="preserve">Is the operational emissions pathway implied by 3.2.a aligned with NZ as defined by the relevant sectoral emissions pathway? </t>
  </si>
  <si>
    <t>Short-term (up to 2026) GHG reduction target(s)</t>
  </si>
  <si>
    <t>Decarbonisation strategy</t>
  </si>
  <si>
    <t>The quantified contribution of individual decarbonisation levers specified in 5.1.b is shown separately for long- and medium-term targets</t>
  </si>
  <si>
    <t>The company has set out a strategy for reaching net zero operational emissions and interim targets that includes the quantification of the major components such as the increasing use of green energy, neutralising measures (eg CCS) and reductions in methane (where relevant)</t>
  </si>
  <si>
    <t>ii) Neutralising Measures</t>
  </si>
  <si>
    <t>The company discloses the total contribution of neutralising measures to the target (in MtCO2e) in 5.1.c separately for long- and medium-term targets</t>
  </si>
  <si>
    <t>The total contribution of neutralising measures is less than 50%</t>
  </si>
  <si>
    <t>The company discloses the contribution of CCS to long-term emission target in either % or CO2 as appropriate</t>
  </si>
  <si>
    <t>The company discloses the contribution of offsets (nature-based solutions) to long-term emission target in either % or CO2 as appropriate</t>
  </si>
  <si>
    <t xml:space="preserve">Where the company has mentioned it will rely on other (technology-based) Carbon Dioxide Removal solutions such as BECCS and DACCS to long-term emission target, it has fully disclosed the contribution of in either % or CO2 as appropriate  </t>
  </si>
  <si>
    <t>The company discloses the contributions of actions by third parties to long-term emission target in both % or CO2 as appropriate (even when that contribution is zero)</t>
  </si>
  <si>
    <t>The company discloses the contribution of CCS to medium-term target in either % or CO2 as appropriate</t>
  </si>
  <si>
    <t>The company discloses the contribution of offsets (nature-based solutions) to medium-term emission target in either % or CO2 as appropriate</t>
  </si>
  <si>
    <t xml:space="preserve">Where the company has mentioned it will rely on other (technology-based) Carbon Dioxide Removal solutions such as BECCS and DACCS to medium-term emission target, it has fully disclosed the contribution of in either % or CO2 as appropriate  </t>
  </si>
  <si>
    <t>The company discloses the contributions of actions by third parties to medium-term emission target in both % or CO2 as appropriate (even when that contribution is zero)</t>
  </si>
  <si>
    <t>The company publishes detailed information setting out its offset strategy, specifying the costs ($tonne and total assumptions), accounting approach, type, mix, storage, and provider</t>
  </si>
  <si>
    <t>The company publishes detailed information on all the technology solutions it is planning to deploy (CCUS/BECCS/DACCS) specifying the amount it intends to invest and the expected timing for operational availability</t>
  </si>
  <si>
    <t>The company has clearly set out the actions it is expecting others to take, how it will account for them, etc.</t>
  </si>
  <si>
    <t>iii) Climate Solutions</t>
  </si>
  <si>
    <t>The company has set out a definition of "climate solutions/green energy" that it uses to consistently report both investment in low carbon energy production, increases in production capacity, output, and revenues as well as sales of low carbon energy</t>
  </si>
  <si>
    <t xml:space="preserve">The definition of "climate solutions/green energy" excludes unabated fossil fuel-based products and for fuels like hydrogen and bioenergy references emission thresholds consistent with established taxonomies  </t>
  </si>
  <si>
    <t>The company has set a target to grow total green energy production (in TJ or KWh, see paragraph 97, from investment in new capacity + long-term PPAs) with at least short- and medium-term target components and established base year and base year values</t>
  </si>
  <si>
    <t>The targeted growth in total green energy production (short- and medium-term trajectory) is consistent with 1.5° scenario as modelled by the IEA</t>
  </si>
  <si>
    <t>The company has set a quantified target (target/base year and values) to grow solar AND/OR wind energy production (measured in TWh or GJ)</t>
  </si>
  <si>
    <t>The targeted growth in solar AND/OR wind energy production (short- and medium-term  trajectory) is consistent with IEA's NZE 1.5° scenario</t>
  </si>
  <si>
    <t>The company has given guidance on total annual sales of "green energy" (in TJ or TWh) for the year specified in its long-term emissions target (i.e. sales from investing in generation capacity/PPAs or from green energy generated by third parties)</t>
  </si>
  <si>
    <t>5.iii.h</t>
  </si>
  <si>
    <t>The company has given guidance on total annual sales of "green energy" (in TJ or TWh) for the year specified in its medium-term emissions target (i.e. sales from investing in generation capacity/PPAs or from green energy generated by third parties)</t>
  </si>
  <si>
    <t>iv) Methane</t>
  </si>
  <si>
    <t>Is a member of OGMP 2.0 and has made a public commitment to the "gold standard" of constant improvements in methane reporting covering all assets in-line with this initiative</t>
  </si>
  <si>
    <t>It has explicitly set out the date when, consistent with OGMP membership commitments (i.e. within three years of it becoming a member), it will publish an independent and externally verified assessment of its methane emissions which integrates direct measurement with estimations (OGMP level 5)</t>
  </si>
  <si>
    <t>Methane emissions are disclosed consistent with OGMP level 5, both on an absolute basis (in metric tonnes) and intensity basis (in tCH4 per PJ of total upstream production). An additional energy-based denominator should be disclosed for mid-stream or distribution companies as appropriate. The denominator of any intensity target should be clearly disclosed</t>
  </si>
  <si>
    <t>The strategy to reduce methane emissions is clearly stated and references the contribution of AND action on emission sources (venting, flaring and leaks), AND prioritisation, AND coverage, AND the use of best available measurement technology</t>
  </si>
  <si>
    <t>The company commits to zero routine flaring by 2030 in line with World Bank and UN initiative and minimise non-routine flaring</t>
  </si>
  <si>
    <t>Company has set a medium-term methane emissions reductions target stating a base year, base year value, target year, target year reduction with both absolute and intensity values and an interim milestone</t>
  </si>
  <si>
    <t>The methane emissions pathway indicated in f) is aligned with the relevant benchmark</t>
  </si>
  <si>
    <t>v) Production</t>
  </si>
  <si>
    <t>The company acknowledges the need for substantial reductions in fossil fuel production across the industry by 2050 and that those reductions need to begin before 2030, particularly for oil</t>
  </si>
  <si>
    <t>Gives guidance on its annual long-term oil production (for the year specified in its long-term emissions target), expressed either in energy units (boe or TJ) or as a % or absolute change from a stated base year value</t>
  </si>
  <si>
    <t>Gives guidance on its annual long-term gas production (for the year specified in its long-term emissions target), expressed either in energy units (boe or TJ) or as a % or absolute change from a stated base year value</t>
  </si>
  <si>
    <t xml:space="preserve">Gives guidance on annual combined long-term oil and gas production (for the year specified in its long-term emissions target), expressed either in energy unites (boe or TJ) or as a % or absolute change from a stated base year value </t>
  </si>
  <si>
    <t>Gives guidance on its annual medium-term oil production (for the year specified in its medium-term emissions target), expressed either in energy units (boe or TJ) or as a % or absolute change from a stated base year value</t>
  </si>
  <si>
    <t>Gives guidance on its annual medium-term gas production (for the year specified in its medium-term emissions target), expressed either in energy units (boe or TJ) or as a % or absolute change from a stated base year value</t>
  </si>
  <si>
    <t xml:space="preserve">Gives guidance on annual combined medium-term oil and gas production (for the year specified in its medium-term emissions target), expressed either in energy unites (boe or TJ) or as a % or absolute change from a stated base year value </t>
  </si>
  <si>
    <t xml:space="preserve">Is the long-term production plan for oil consistent with the IEA NZE ( -78% by 2050 from 2019 levels) </t>
  </si>
  <si>
    <t>Is the long-term production plan for gas consistent with the IEA NZE (-77% by 2050 from 2019 levels)</t>
  </si>
  <si>
    <t>Is the long-term combined annual production plan for gas and oil consistent with the IEA NZE (-77% by 2050 from 2019 levels, assuming a 50% split)</t>
  </si>
  <si>
    <t xml:space="preserve">Is the medium-term production plan for oil consistent with the IEA NZE  (-22% by 2030 from 2019 levels) </t>
  </si>
  <si>
    <t>Is the medium-term production plan for gas consistent with the IEA NZE (-15% by 2030 from 2019 levels)</t>
  </si>
  <si>
    <t>Is the medium-term combined annual production plan for gas and oil consistent with the IEA NZE (-19% by 2030, assuming a 50% split)</t>
  </si>
  <si>
    <t>If either 5.v.h-m are No, has the company given a reason?</t>
  </si>
  <si>
    <t xml:space="preserve">If the oil pathway is not aligned with NZE (5.v.h or 5.v.k is No) the company has given guidance on the average breakeven cost of its currently sanctioned oil production ($ per barrel) </t>
  </si>
  <si>
    <t>The average breakeven cost of its currently sanctioned Oil production ($ per barrel) is consistent with a net zero scenario</t>
  </si>
  <si>
    <t>If the gas pathway is not aligned with NZE (5.v.i or 5.v.l is No), the company has given guidance on an average breakeven cost of its currently sanctioned gas production ($ per barrel), including a relevant regional breakdown</t>
  </si>
  <si>
    <t>The average breakeven cost of its currently sanctioned gas production ($ per barrel) is consistent with a net zero scenario</t>
  </si>
  <si>
    <t>Capital Allocation</t>
  </si>
  <si>
    <t>i) Fossil fuel capex</t>
  </si>
  <si>
    <t>The company discloses total group capex in both the last financial year and a forward-looking guidance (minimum 3 years ahead and specifying the number of years included)</t>
  </si>
  <si>
    <t>The company discloses capex in all fossil fuel activities in both the last financial year and a forward-looking guidance (minimum 3 years ahead)</t>
  </si>
  <si>
    <t xml:space="preserve">The company discloses upstream oil and gas capex in the last financial year and a forward-looking guidance (minimum 3 years ahead) </t>
  </si>
  <si>
    <t xml:space="preserve">The company discloses exploration capex (i.e. non-maintenance of existing oil and gas facilities) in the last financial year and a forward-looking guidance (minimum three years ahead). </t>
  </si>
  <si>
    <t xml:space="preserve">If production decline is not consistent with IEA NZE, the company discloses current and forward-looking guidance on long-lived greenfield capex  </t>
  </si>
  <si>
    <t>If reductions in oil production (if either 5.v.h or 5.v.k is scored as "No") are not consistent with IEA NZE, the company has disclosed the estimated breakeven cost of all pre final investment decision (FID) oil pipeline ranked by cost</t>
  </si>
  <si>
    <t>Is the pre-FID oil pipeline ranked by cost sufficiently low cost?</t>
  </si>
  <si>
    <t>If reductions in gas production are not consistent with IEA NZE (if either 5.v.i or 5.v.l is scored as "No"), the company has disclosed the estimated breakeven cost of all pre FID gas pipeline ranked by cost</t>
  </si>
  <si>
    <t>Is the pre-FID gas pipeline ranked by cost sufficiently low cost?</t>
  </si>
  <si>
    <t>ii) Green investment</t>
  </si>
  <si>
    <t>The company discloses total investment in “green” energy production in both the last financial year and a forward-looking guidance (minimum three years ahead) where “green” is clearly defined and consistent with the one used in indicator 5</t>
  </si>
  <si>
    <t>The company discloses a target to increase PV (or combined PV / wind) generation capacity from a stated base year and value</t>
  </si>
  <si>
    <t>The company discloses a target to increase wind generation capacity from a stated base year and value</t>
  </si>
  <si>
    <t>The company discloses a target to increase bioenergy production capacity from a specified base year and value</t>
  </si>
  <si>
    <t>The company discloses target to increase low-carbon hydrogen production capacity from a specified base year and value</t>
  </si>
  <si>
    <t>Is the PV (/blended PV/Wind) capacity target consistent with IEA NZE?</t>
  </si>
  <si>
    <t>Is the wind production capacity target (6.ii.c) consistent with IEA NZE?</t>
  </si>
  <si>
    <t>Is the bioenergy capacity target (6.ii.d) consistent with IEA NZE?</t>
  </si>
  <si>
    <t>Is the low-carbon hydrogen capacity target (6.ii.e) consistent with IEA NZE?</t>
  </si>
  <si>
    <t>iii) Decarbonisation Capex</t>
  </si>
  <si>
    <t>The company discloses investment (including any capitalised R&amp;D) in all appropriate abatement technology in most recent financial year and a forward-looking guidance (min. 3 yrs ahead)</t>
  </si>
  <si>
    <t xml:space="preserve">The company discloses the total current abatement capacity and expected capacity at the end of the investment (such that the increase can be calculated) </t>
  </si>
  <si>
    <t>Climate Policy Engagement</t>
  </si>
  <si>
    <t>i) Energy Disclosure</t>
  </si>
  <si>
    <t xml:space="preserve">Disclose all externally sold energy. This should be a comprehensive metric covering all forms of energy sales on both an equity and operational boundary and on a primary basis with no fossil fuel equivalent (FFE) adjustments and exclude non-energy and financial trading. </t>
  </si>
  <si>
    <t>Assumptions on the sales of “nonenergy” products and the impact of the exclusion are disclosed</t>
  </si>
  <si>
    <t>Assumptions on any “financial trading” volumes and the impact of the exclusion should be disclosed</t>
  </si>
  <si>
    <t>Any treatment of FFE either in the stated energy figure or targets is clearly disclosed</t>
  </si>
  <si>
    <t>ii) Emissions Disclosure</t>
  </si>
  <si>
    <t xml:space="preserve">Disclose net emissions from all externally sold energy. This should be disclosed on the same (comprehensive) footprint used for energy covering all emission scopes and greenhouse gases (methane, as well as CO2). </t>
  </si>
  <si>
    <t>The emissions data has been externally and independently verified</t>
  </si>
  <si>
    <t>The difference between gross and net emissions is explicitly stated</t>
  </si>
  <si>
    <t>Historical GHG Emissions Reductions  (Beta)</t>
  </si>
  <si>
    <t xml:space="preserve">Confidential: this spreadsheet is for Climate Action 100+ signatories only </t>
  </si>
  <si>
    <t>CA100 Indicator/Sub-indicator/Metric</t>
  </si>
  <si>
    <t>Indicator 1: Net-zero GHG Emissions by 2050 (Or Sooner) Ambition</t>
  </si>
  <si>
    <t>Indicator 1 overall assessment</t>
  </si>
  <si>
    <t>1.1.b: Coverage of Scope 3 GHG emissions categories</t>
  </si>
  <si>
    <t>Indicator 2: Long-term (2036-2050) GHG Reduction Target(s)</t>
  </si>
  <si>
    <t>Indicator 2 overall assessment</t>
  </si>
  <si>
    <t>2.1: Long-term (2036-2050) GHG Reduction Target(s)</t>
  </si>
  <si>
    <t>2.2: Long-term GHG reduction target coverage</t>
  </si>
  <si>
    <t>2.2.a: Coverage of Scope 1 and Scope 2 GHG emissions</t>
  </si>
  <si>
    <t>2.2.b: Coverage of Scope 3 GHG categories</t>
  </si>
  <si>
    <t xml:space="preserve">2.3: Paris Agreement alignment of target carbon intensity </t>
  </si>
  <si>
    <t>Indicator 3: Medium-term (2027-2035) GHG Reduction Target(s)</t>
  </si>
  <si>
    <t>Indicator 3 overall assessment</t>
  </si>
  <si>
    <t>3.1: Medium-term (2027-2035) GHG Reduction Target(s)</t>
  </si>
  <si>
    <t>3.2: Medium-term (2027-2035) GHG Reduction Target(s) emissions coverage</t>
  </si>
  <si>
    <t>3.2.a: Coverage of Scope 1 and Scope 2 GHG emissions</t>
  </si>
  <si>
    <t xml:space="preserve">3.3: Paris Agreement alignment of target carbon intensity </t>
  </si>
  <si>
    <t>Primary Sector</t>
  </si>
  <si>
    <t>3.4: Conversion of intensity target to projected absolute emissions reductions</t>
  </si>
  <si>
    <t>Indicator 4: Short-term (up to 2026) GHG Reduction Target(s)</t>
  </si>
  <si>
    <t>Indicator 4 overall assessment</t>
  </si>
  <si>
    <t>4.1: Short-term (up to 2026) GHG Reduction Target(s)</t>
  </si>
  <si>
    <t>4.2: Short-term (up to 2026) GHG Reduction Target(s) emissions coverage</t>
  </si>
  <si>
    <t>4.2.a: Coverage of Scope 1 and Scope 2 GHG emissions</t>
  </si>
  <si>
    <t>4.2.b: Coverage of Scope 3 GHG categories</t>
  </si>
  <si>
    <t xml:space="preserve">4.3: Paris Agreement alignment of target carbon intensity </t>
  </si>
  <si>
    <t>Indicator 5 overall assessment</t>
  </si>
  <si>
    <t>5.1: Decarbonisation strategy (Target Delivery)</t>
  </si>
  <si>
    <t>5.2: Role of climate solutions in decarbonisation strategy</t>
  </si>
  <si>
    <t>Indicator 6 overall assessment</t>
  </si>
  <si>
    <t>6.1: Decarbonisation of capital expenditures (CapEx)</t>
  </si>
  <si>
    <t xml:space="preserve">6.2: Disclosure of intended investments into climate solutions </t>
  </si>
  <si>
    <t>Not Applicable</t>
  </si>
  <si>
    <t>Indicator 7 overall assessment</t>
  </si>
  <si>
    <t>Indicator 8 overall assessment</t>
  </si>
  <si>
    <t xml:space="preserve">8.3: Board competencies/capabilities to assess and manage climate-related risks and opportunities </t>
  </si>
  <si>
    <t>Indicator 9 overall assessment</t>
  </si>
  <si>
    <t>Indicator 10 overall assessment</t>
  </si>
  <si>
    <t xml:space="preserve">Indicator 11: Historical GHG Emissions Reductions </t>
  </si>
  <si>
    <t>Indicator 11 overall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</si>
</sst>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b/>
      <sz val="26"/>
      <color theme="1"/>
      <name val="Arial"/>
      <family val="2"/>
    </font>
    <font>
      <b/>
      <sz val="11"/>
      <color rgb="FFFF0000"/>
      <name val="Arial"/>
      <family val="2"/>
    </font>
    <font>
      <b/>
      <sz val="11"/>
      <color rgb="FF000000"/>
      <name val="Arial"/>
      <family val="2"/>
    </font>
    <font>
      <sz val="11"/>
      <color rgb="FF000000"/>
      <name val="Arial"/>
      <family val="2"/>
    </font>
    <font>
      <b/>
      <sz val="11"/>
      <color theme="1"/>
      <name val="Arial"/>
      <family val="2"/>
    </font>
    <font>
      <u/>
      <sz val="11"/>
      <color theme="10"/>
      <name val="Arial"/>
      <family val="2"/>
    </font>
    <font>
      <u/>
      <sz val="10"/>
      <color theme="10"/>
      <name val="Arial"/>
      <family val="2"/>
    </font>
    <font>
      <sz val="9"/>
      <color theme="5"/>
      <name val="Arial"/>
      <family val="2"/>
    </font>
    <font>
      <sz val="11"/>
      <color theme="0"/>
      <name val="Arial"/>
      <family val="2"/>
    </font>
    <font>
      <b/>
      <sz val="12"/>
      <color theme="1"/>
      <name val="Arial"/>
      <family val="2"/>
    </font>
    <font>
      <b/>
      <sz val="10"/>
      <color theme="1"/>
      <name val="Arial"/>
      <family val="2"/>
    </font>
    <font>
      <sz val="10"/>
      <color theme="1"/>
      <name val="Arial"/>
      <family val="2"/>
    </font>
    <font>
      <sz val="8"/>
      <color rgb="FF374151"/>
      <name val="Arial"/>
      <family val="2"/>
    </font>
    <font>
      <b/>
      <sz val="9"/>
      <color theme="1"/>
      <name val="Arial"/>
      <family val="2"/>
    </font>
    <font>
      <b/>
      <sz val="9"/>
      <color theme="0"/>
      <name val="Arial"/>
      <family val="2"/>
    </font>
    <font>
      <sz val="9"/>
      <color theme="1"/>
      <name val="Arial"/>
      <family val="2"/>
    </font>
    <font>
      <vertAlign val="superscript"/>
      <sz val="10"/>
      <color theme="1"/>
      <name val="Arial"/>
      <family val="2"/>
    </font>
    <font>
      <b/>
      <sz val="9"/>
      <color rgb="FF000000"/>
      <name val="Arial"/>
      <family val="2"/>
    </font>
    <font>
      <b/>
      <sz val="11"/>
      <name val="Arial"/>
      <family val="2"/>
    </font>
    <font>
      <sz val="11"/>
      <name val="Calibri (Body)"/>
    </font>
    <font>
      <b/>
      <sz val="9"/>
      <color rgb="FF808080"/>
      <name val="Arial"/>
      <family val="2"/>
    </font>
    <font>
      <sz val="9"/>
      <color rgb="FF808080"/>
      <name val="Arial"/>
      <family val="2"/>
    </font>
    <font>
      <sz val="9"/>
      <color rgb="FF000000"/>
      <name val="Arial"/>
      <family val="2"/>
    </font>
    <font>
      <sz val="9"/>
      <color rgb="FFF88610"/>
      <name val="Arial"/>
      <family val="2"/>
    </font>
    <font>
      <b/>
      <sz val="9"/>
      <color rgb="FFF58220"/>
      <name val="Arial"/>
      <family val="2"/>
    </font>
    <font>
      <b/>
      <sz val="9"/>
      <name val="Arial"/>
      <family val="2"/>
    </font>
    <font>
      <b/>
      <sz val="10"/>
      <color rgb="FFF58220"/>
      <name val="Arial"/>
      <family val="2"/>
    </font>
    <font>
      <sz val="9"/>
      <color theme="0"/>
      <name val="Arial"/>
      <family val="2"/>
    </font>
    <font>
      <sz val="9"/>
      <name val="Arial"/>
      <family val="2"/>
    </font>
    <font>
      <sz val="11"/>
      <color rgb="FF808080"/>
      <name val="Arial"/>
      <family val="2"/>
    </font>
    <font>
      <sz val="11"/>
      <color rgb="FFF58220"/>
      <name val="Arial"/>
      <family val="2"/>
    </font>
    <font>
      <sz val="11"/>
      <color rgb="FFF88610"/>
      <name val="Arial"/>
      <family val="2"/>
    </font>
    <font>
      <sz val="11"/>
      <name val="Arial"/>
      <family val="2"/>
    </font>
    <font>
      <vertAlign val="superscript"/>
      <sz val="11"/>
      <name val="Arial"/>
      <family val="2"/>
    </font>
    <font>
      <sz val="8"/>
      <color theme="1"/>
      <name val="Arial"/>
      <family val="2"/>
    </font>
    <font>
      <sz val="9"/>
      <color rgb="FFF58220"/>
      <name val="Arial"/>
      <family val="2"/>
    </font>
    <font>
      <sz val="8"/>
      <name val="Calibri"/>
      <family val="2"/>
      <scheme val="minor"/>
    </font>
    <font>
      <b/>
      <sz val="8"/>
      <color theme="0"/>
      <name val="Arial"/>
      <family val="2"/>
    </font>
    <font>
      <sz val="8"/>
      <color theme="0"/>
      <name val="Arial"/>
      <family val="2"/>
    </font>
    <font>
      <sz val="8"/>
      <color rgb="FF000066"/>
      <name val="Arial"/>
      <family val="2"/>
    </font>
    <font>
      <sz val="9"/>
      <color rgb="FF444444"/>
      <name val="Arial"/>
      <family val="2"/>
    </font>
    <font>
      <b/>
      <sz val="20"/>
      <name val="Arial"/>
      <family val="2"/>
    </font>
    <font>
      <b/>
      <sz val="12"/>
      <name val="Arial"/>
      <family val="2"/>
    </font>
    <font>
      <b/>
      <sz val="10"/>
      <name val="Arial"/>
      <family val="2"/>
    </font>
    <font>
      <b/>
      <sz val="8"/>
      <color theme="1"/>
      <name val="Arial"/>
      <family val="2"/>
    </font>
    <font>
      <sz val="10"/>
      <color rgb="FF000000"/>
      <name val="Arial"/>
      <family val="2"/>
    </font>
    <font>
      <b/>
      <sz val="11"/>
      <color theme="1"/>
      <name val="Calibri"/>
      <family val="2"/>
      <scheme val="minor"/>
    </font>
    <font>
      <b/>
      <sz val="8"/>
      <color rgb="FF000066"/>
      <name val="Calibri"/>
      <family val="2"/>
      <scheme val="minor"/>
    </font>
    <font>
      <b/>
      <sz val="14"/>
      <name val="Arial"/>
      <family val="2"/>
    </font>
    <font>
      <u/>
      <sz val="11"/>
      <color rgb="FF0563C1"/>
      <name val="Arial"/>
      <family val="2"/>
    </font>
    <font>
      <b/>
      <sz val="11"/>
      <color rgb="FF002060"/>
      <name val="Arial"/>
      <family val="2"/>
    </font>
    <font>
      <b/>
      <sz val="16"/>
      <name val="Arial"/>
      <family val="2"/>
    </font>
    <font>
      <vertAlign val="superscript"/>
      <sz val="9"/>
      <name val="Arial"/>
      <family val="2"/>
    </font>
    <font>
      <vertAlign val="superscript"/>
      <sz val="9"/>
      <color theme="1"/>
      <name val="Arial"/>
      <family val="2"/>
    </font>
    <font>
      <u/>
      <sz val="11"/>
      <color rgb="FF0070C0"/>
      <name val="Arial"/>
      <family val="2"/>
    </font>
    <font>
      <b/>
      <sz val="22"/>
      <name val="Arial"/>
      <family val="2"/>
    </font>
    <font>
      <vertAlign val="subscript"/>
      <sz val="9"/>
      <color rgb="FFF88610"/>
      <name val="Arial"/>
      <family val="2"/>
    </font>
    <font>
      <vertAlign val="subscript"/>
      <sz val="11"/>
      <color rgb="FFF58220"/>
      <name val="Arial"/>
      <family val="2"/>
    </font>
  </fonts>
  <fills count="19">
    <fill>
      <patternFill patternType="none"/>
    </fill>
    <fill>
      <patternFill patternType="gray125"/>
    </fill>
    <fill>
      <patternFill patternType="solid">
        <fgColor indexed="65"/>
        <bgColor theme="0"/>
      </patternFill>
    </fill>
    <fill>
      <patternFill patternType="solid">
        <fgColor theme="0"/>
        <bgColor theme="0"/>
      </patternFill>
    </fill>
    <fill>
      <patternFill patternType="solid">
        <fgColor indexed="65"/>
        <bgColor indexed="64"/>
      </patternFill>
    </fill>
    <fill>
      <patternFill patternType="solid">
        <fgColor theme="0"/>
        <bgColor indexed="64"/>
      </patternFill>
    </fill>
    <fill>
      <patternFill patternType="solid">
        <fgColor rgb="FFFF0000"/>
        <bgColor rgb="FFFF0000"/>
      </patternFill>
    </fill>
    <fill>
      <patternFill patternType="solid">
        <fgColor theme="0" tint="-4.9989318521683403E-2"/>
        <bgColor indexed="64"/>
      </patternFill>
    </fill>
    <fill>
      <patternFill patternType="solid">
        <fgColor rgb="FFFFFFFF"/>
        <bgColor indexed="64"/>
      </patternFill>
    </fill>
    <fill>
      <patternFill patternType="solid">
        <fgColor rgb="FF000000"/>
        <bgColor indexed="64"/>
      </patternFill>
    </fill>
    <fill>
      <patternFill patternType="solid">
        <fgColor rgb="FFFBE2D5"/>
        <bgColor rgb="FF000000"/>
      </patternFill>
    </fill>
    <fill>
      <patternFill patternType="solid">
        <fgColor rgb="FFF2F2F2"/>
        <bgColor rgb="FF000000"/>
      </patternFill>
    </fill>
    <fill>
      <patternFill patternType="solid">
        <fgColor theme="5" tint="0.79998168889431442"/>
        <bgColor indexed="64"/>
      </patternFill>
    </fill>
    <fill>
      <patternFill patternType="solid">
        <fgColor rgb="FFF2F2F2"/>
        <bgColor indexed="64"/>
      </patternFill>
    </fill>
    <fill>
      <patternFill patternType="solid">
        <fgColor rgb="FFFBE2D5"/>
        <bgColor indexed="64"/>
      </patternFill>
    </fill>
    <fill>
      <patternFill patternType="solid">
        <fgColor theme="0"/>
        <bgColor rgb="FF000000"/>
      </patternFill>
    </fill>
    <fill>
      <patternFill patternType="solid">
        <fgColor rgb="FFDDEBF7"/>
        <bgColor indexed="64"/>
      </patternFill>
    </fill>
    <fill>
      <patternFill patternType="solid">
        <fgColor theme="5" tint="0.79998168889431442"/>
        <bgColor theme="0"/>
      </patternFill>
    </fill>
    <fill>
      <patternFill patternType="solid">
        <fgColor rgb="FFFF0000"/>
        <bgColor theme="0"/>
      </patternFill>
    </fill>
  </fills>
  <borders count="69">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diagonal/>
    </border>
    <border>
      <left/>
      <right/>
      <top/>
      <bottom style="thin">
        <color indexed="64"/>
      </bottom>
      <diagonal/>
    </border>
    <border>
      <left/>
      <right/>
      <top/>
      <bottom style="medium">
        <color rgb="FF000000"/>
      </bottom>
      <diagonal/>
    </border>
    <border>
      <left/>
      <right/>
      <top/>
      <bottom style="medium">
        <color indexed="64"/>
      </bottom>
      <diagonal/>
    </border>
    <border>
      <left style="medium">
        <color rgb="FF000000"/>
      </left>
      <right/>
      <top/>
      <bottom/>
      <diagonal/>
    </border>
    <border>
      <left/>
      <right style="medium">
        <color indexed="64"/>
      </right>
      <top style="medium">
        <color indexed="64"/>
      </top>
      <bottom/>
      <diagonal/>
    </border>
    <border>
      <left/>
      <right style="medium">
        <color indexed="64"/>
      </right>
      <top/>
      <bottom/>
      <diagonal/>
    </border>
    <border>
      <left style="medium">
        <color rgb="FF000000"/>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thin">
        <color theme="0"/>
      </bottom>
      <diagonal/>
    </border>
    <border>
      <left style="thin">
        <color theme="5"/>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style="thin">
        <color theme="5"/>
      </right>
      <top/>
      <bottom style="thin">
        <color theme="5"/>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top style="medium">
        <color theme="0"/>
      </top>
      <bottom style="medium">
        <color indexed="64"/>
      </bottom>
      <diagonal/>
    </border>
    <border>
      <left/>
      <right style="medium">
        <color theme="0"/>
      </right>
      <top style="medium">
        <color theme="0"/>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theme="0"/>
      </right>
      <top style="thin">
        <color theme="0"/>
      </top>
      <bottom style="medium">
        <color theme="0"/>
      </bottom>
      <diagonal/>
    </border>
    <border>
      <left/>
      <right/>
      <top style="thin">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top style="medium">
        <color theme="0"/>
      </top>
      <bottom/>
      <diagonal/>
    </border>
    <border>
      <left/>
      <right/>
      <top/>
      <bottom style="medium">
        <color theme="0"/>
      </bottom>
      <diagonal/>
    </border>
    <border>
      <left style="thin">
        <color theme="0"/>
      </left>
      <right style="thin">
        <color theme="0"/>
      </right>
      <top/>
      <bottom/>
      <diagonal/>
    </border>
    <border>
      <left style="thin">
        <color theme="0"/>
      </left>
      <right style="thin">
        <color theme="0"/>
      </right>
      <top/>
      <bottom style="medium">
        <color indexed="64"/>
      </bottom>
      <diagonal/>
    </border>
    <border>
      <left/>
      <right/>
      <top style="medium">
        <color theme="0"/>
      </top>
      <bottom style="medium">
        <color indexed="64"/>
      </bottom>
      <diagonal/>
    </border>
    <border>
      <left style="medium">
        <color theme="0"/>
      </left>
      <right/>
      <top/>
      <bottom style="medium">
        <color theme="0"/>
      </bottom>
      <diagonal/>
    </border>
    <border>
      <left style="thin">
        <color theme="0"/>
      </left>
      <right style="thin">
        <color theme="0"/>
      </right>
      <top style="thin">
        <color theme="0"/>
      </top>
      <bottom style="thin">
        <color theme="0"/>
      </bottom>
      <diagonal/>
    </border>
    <border>
      <left style="thin">
        <color rgb="FFF2F2F2"/>
      </left>
      <right style="thin">
        <color rgb="FFF2F2F2"/>
      </right>
      <top/>
      <bottom/>
      <diagonal/>
    </border>
    <border>
      <left/>
      <right style="medium">
        <color theme="0"/>
      </right>
      <top/>
      <bottom style="medium">
        <color theme="0"/>
      </bottom>
      <diagonal/>
    </border>
    <border>
      <left/>
      <right style="medium">
        <color theme="0"/>
      </right>
      <top style="medium">
        <color theme="0"/>
      </top>
      <bottom style="medium">
        <color theme="0"/>
      </bottom>
      <diagonal/>
    </border>
  </borders>
  <cellStyleXfs count="7">
    <xf numFmtId="0" fontId="0" fillId="0" borderId="0"/>
    <xf numFmtId="0" fontId="1" fillId="0" borderId="0"/>
    <xf numFmtId="9" fontId="2" fillId="0" borderId="0" applyFont="0" applyFill="0" applyBorder="0" applyAlignment="0" applyProtection="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50" fillId="0" borderId="0"/>
  </cellStyleXfs>
  <cellXfs count="401">
    <xf numFmtId="0" fontId="0" fillId="0" borderId="0" xfId="0"/>
    <xf numFmtId="0" fontId="0" fillId="5" borderId="0" xfId="0" applyFill="1"/>
    <xf numFmtId="0" fontId="4" fillId="5" borderId="0" xfId="3" applyFont="1" applyFill="1"/>
    <xf numFmtId="0" fontId="4" fillId="5" borderId="0" xfId="3" applyFont="1" applyFill="1" applyAlignment="1">
      <alignment wrapText="1"/>
    </xf>
    <xf numFmtId="0" fontId="4" fillId="0" borderId="0" xfId="3" applyFont="1"/>
    <xf numFmtId="0" fontId="5" fillId="5" borderId="0" xfId="3" applyFont="1" applyFill="1" applyAlignment="1">
      <alignment horizontal="right"/>
    </xf>
    <xf numFmtId="0" fontId="7" fillId="5" borderId="0" xfId="3" applyFont="1" applyFill="1" applyAlignment="1">
      <alignment horizontal="center" vertical="center" wrapText="1"/>
    </xf>
    <xf numFmtId="0" fontId="8" fillId="5" borderId="0" xfId="3" applyFont="1" applyFill="1"/>
    <xf numFmtId="0" fontId="4" fillId="2" borderId="0" xfId="0" applyFont="1" applyFill="1"/>
    <xf numFmtId="0" fontId="6" fillId="0" borderId="0" xfId="3" applyFont="1" applyAlignment="1">
      <alignment horizontal="center" vertical="center" wrapText="1"/>
    </xf>
    <xf numFmtId="0" fontId="7" fillId="5" borderId="0" xfId="3" applyFont="1" applyFill="1" applyAlignment="1">
      <alignment vertical="center" wrapText="1"/>
    </xf>
    <xf numFmtId="0" fontId="4" fillId="0" borderId="0" xfId="0" applyFont="1"/>
    <xf numFmtId="0" fontId="17" fillId="0" borderId="0" xfId="0" applyFont="1" applyAlignment="1">
      <alignment wrapText="1"/>
    </xf>
    <xf numFmtId="0" fontId="4" fillId="0" borderId="0" xfId="0" applyFont="1" applyAlignment="1">
      <alignment wrapText="1"/>
    </xf>
    <xf numFmtId="9" fontId="22" fillId="3" borderId="30" xfId="2" applyFont="1" applyFill="1" applyBorder="1" applyAlignment="1">
      <alignment horizontal="center" vertical="center" wrapText="1"/>
    </xf>
    <xf numFmtId="0" fontId="9" fillId="0" borderId="0" xfId="3" applyFont="1"/>
    <xf numFmtId="0" fontId="11" fillId="0" borderId="0" xfId="4" applyFont="1" applyFill="1" applyBorder="1" applyAlignment="1" applyProtection="1">
      <alignment vertical="center" wrapText="1"/>
      <protection locked="0"/>
    </xf>
    <xf numFmtId="0" fontId="9" fillId="0" borderId="0" xfId="3" applyFont="1" applyAlignment="1">
      <alignment vertical="center"/>
    </xf>
    <xf numFmtId="0" fontId="9" fillId="5" borderId="0" xfId="3" applyFont="1" applyFill="1" applyAlignment="1">
      <alignment vertical="center" wrapText="1"/>
    </xf>
    <xf numFmtId="0" fontId="9" fillId="5" borderId="0" xfId="3" applyFont="1" applyFill="1" applyAlignment="1">
      <alignment vertical="center"/>
    </xf>
    <xf numFmtId="0" fontId="10" fillId="0" borderId="0" xfId="4" applyFont="1" applyFill="1" applyBorder="1" applyAlignment="1">
      <alignment vertical="center"/>
    </xf>
    <xf numFmtId="0" fontId="24" fillId="0" borderId="30" xfId="1" applyFont="1" applyBorder="1" applyAlignment="1">
      <alignment horizontal="center" vertical="center"/>
    </xf>
    <xf numFmtId="0" fontId="20" fillId="4" borderId="0" xfId="0" applyFont="1" applyFill="1" applyAlignment="1">
      <alignment vertical="center"/>
    </xf>
    <xf numFmtId="0" fontId="20" fillId="0" borderId="0" xfId="0" applyFont="1" applyAlignment="1">
      <alignment vertical="center"/>
    </xf>
    <xf numFmtId="0" fontId="20" fillId="5" borderId="0" xfId="0" applyFont="1" applyFill="1" applyAlignment="1">
      <alignment vertical="center"/>
    </xf>
    <xf numFmtId="0" fontId="4" fillId="4" borderId="0" xfId="0" applyFont="1" applyFill="1" applyAlignment="1">
      <alignment vertical="center" wrapText="1"/>
    </xf>
    <xf numFmtId="0" fontId="18" fillId="4" borderId="0" xfId="0" applyFont="1" applyFill="1" applyAlignment="1">
      <alignment vertical="center"/>
    </xf>
    <xf numFmtId="9" fontId="18" fillId="4" borderId="0" xfId="2" applyFont="1" applyFill="1" applyAlignment="1">
      <alignment horizontal="center" vertical="center"/>
    </xf>
    <xf numFmtId="0" fontId="20" fillId="4" borderId="6" xfId="0" applyFont="1" applyFill="1" applyBorder="1" applyAlignment="1">
      <alignment vertical="center"/>
    </xf>
    <xf numFmtId="0" fontId="20" fillId="4" borderId="7" xfId="0" applyFont="1" applyFill="1" applyBorder="1" applyAlignment="1">
      <alignment vertical="center"/>
    </xf>
    <xf numFmtId="0" fontId="22" fillId="3" borderId="8" xfId="0" applyFont="1" applyFill="1" applyBorder="1" applyAlignment="1">
      <alignment horizontal="left" vertical="center"/>
    </xf>
    <xf numFmtId="0" fontId="25" fillId="3" borderId="0" xfId="0" applyFont="1" applyFill="1" applyAlignment="1">
      <alignment vertical="center"/>
    </xf>
    <xf numFmtId="0" fontId="25" fillId="3" borderId="8" xfId="0" applyFont="1" applyFill="1" applyBorder="1" applyAlignment="1">
      <alignment vertical="center" wrapText="1"/>
    </xf>
    <xf numFmtId="0" fontId="22" fillId="3" borderId="8" xfId="0" applyFont="1" applyFill="1" applyBorder="1" applyAlignment="1">
      <alignment vertical="center" wrapText="1"/>
    </xf>
    <xf numFmtId="0" fontId="22" fillId="3" borderId="11" xfId="0" applyFont="1" applyFill="1" applyBorder="1" applyAlignment="1">
      <alignment vertical="center" wrapText="1"/>
    </xf>
    <xf numFmtId="0" fontId="27" fillId="3" borderId="7" xfId="0" applyFont="1" applyFill="1" applyBorder="1" applyAlignment="1">
      <alignment vertical="center"/>
    </xf>
    <xf numFmtId="0" fontId="22" fillId="3" borderId="8" xfId="0" applyFont="1" applyFill="1" applyBorder="1" applyAlignment="1">
      <alignment horizontal="center" vertical="center" wrapText="1"/>
    </xf>
    <xf numFmtId="0" fontId="27" fillId="3" borderId="8" xfId="0" applyFont="1" applyFill="1" applyBorder="1" applyAlignment="1">
      <alignment vertical="center" wrapText="1"/>
    </xf>
    <xf numFmtId="0" fontId="27" fillId="3" borderId="7" xfId="0" applyFont="1" applyFill="1" applyBorder="1" applyAlignment="1">
      <alignment horizontal="center" vertical="center"/>
    </xf>
    <xf numFmtId="0" fontId="16" fillId="4" borderId="0" xfId="0" applyFont="1" applyFill="1" applyAlignment="1">
      <alignment vertical="center"/>
    </xf>
    <xf numFmtId="0" fontId="4" fillId="4" borderId="0" xfId="0" applyFont="1" applyFill="1" applyAlignment="1">
      <alignment vertical="center"/>
    </xf>
    <xf numFmtId="0" fontId="18" fillId="4" borderId="34" xfId="0" applyFont="1" applyFill="1" applyBorder="1" applyAlignment="1">
      <alignment vertical="center"/>
    </xf>
    <xf numFmtId="0" fontId="20" fillId="4" borderId="34" xfId="0" applyFont="1" applyFill="1" applyBorder="1" applyAlignment="1">
      <alignment vertical="center"/>
    </xf>
    <xf numFmtId="0" fontId="32" fillId="4" borderId="0" xfId="0" applyFont="1" applyFill="1"/>
    <xf numFmtId="0" fontId="19" fillId="4" borderId="0" xfId="0" applyFont="1" applyFill="1" applyAlignment="1">
      <alignment horizontal="left"/>
    </xf>
    <xf numFmtId="9" fontId="20" fillId="4" borderId="0" xfId="2" applyFont="1" applyFill="1" applyBorder="1" applyAlignment="1">
      <alignment vertical="center"/>
    </xf>
    <xf numFmtId="9" fontId="22" fillId="3" borderId="0" xfId="2" applyFont="1" applyFill="1" applyBorder="1" applyAlignment="1">
      <alignment horizontal="center" vertical="center" wrapText="1"/>
    </xf>
    <xf numFmtId="0" fontId="20" fillId="4" borderId="33" xfId="0" applyFont="1" applyFill="1" applyBorder="1" applyAlignment="1">
      <alignment vertical="center"/>
    </xf>
    <xf numFmtId="0" fontId="18" fillId="4" borderId="34" xfId="0" applyFont="1" applyFill="1" applyBorder="1" applyAlignment="1">
      <alignment horizontal="left" vertical="center"/>
    </xf>
    <xf numFmtId="0" fontId="4" fillId="2" borderId="0" xfId="0" applyFont="1" applyFill="1" applyAlignment="1">
      <alignment vertical="center"/>
    </xf>
    <xf numFmtId="0" fontId="4" fillId="0" borderId="0" xfId="0" applyFont="1" applyAlignment="1">
      <alignment vertical="center"/>
    </xf>
    <xf numFmtId="0" fontId="4" fillId="0" borderId="1" xfId="0" applyFont="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4" fillId="2" borderId="9" xfId="0" applyFont="1" applyFill="1" applyBorder="1" applyAlignment="1">
      <alignment vertical="center"/>
    </xf>
    <xf numFmtId="9" fontId="4" fillId="2" borderId="13" xfId="0" applyNumberFormat="1" applyFont="1" applyFill="1" applyBorder="1" applyAlignment="1">
      <alignment horizontal="center" vertical="center"/>
    </xf>
    <xf numFmtId="9" fontId="4" fillId="2" borderId="0" xfId="0" applyNumberFormat="1" applyFont="1" applyFill="1" applyAlignment="1">
      <alignment horizontal="center" vertical="center"/>
    </xf>
    <xf numFmtId="9" fontId="4" fillId="2" borderId="10" xfId="0" applyNumberFormat="1" applyFont="1" applyFill="1" applyBorder="1" applyAlignment="1">
      <alignment horizontal="center" vertical="center"/>
    </xf>
    <xf numFmtId="9" fontId="4" fillId="2" borderId="24" xfId="0" applyNumberFormat="1" applyFont="1" applyFill="1" applyBorder="1" applyAlignment="1">
      <alignment horizontal="center" vertical="center"/>
    </xf>
    <xf numFmtId="9" fontId="4" fillId="2" borderId="7" xfId="0" applyNumberFormat="1" applyFont="1" applyFill="1" applyBorder="1" applyAlignment="1">
      <alignment horizontal="center" vertical="center"/>
    </xf>
    <xf numFmtId="9" fontId="4" fillId="2" borderId="12" xfId="0" applyNumberFormat="1" applyFont="1" applyFill="1" applyBorder="1" applyAlignment="1">
      <alignment horizontal="center" vertical="center"/>
    </xf>
    <xf numFmtId="9" fontId="4" fillId="2" borderId="22" xfId="0" applyNumberFormat="1" applyFont="1" applyFill="1" applyBorder="1" applyAlignment="1">
      <alignment horizontal="center" vertical="center"/>
    </xf>
    <xf numFmtId="9" fontId="4" fillId="2" borderId="23" xfId="0" applyNumberFormat="1" applyFont="1" applyFill="1" applyBorder="1" applyAlignment="1">
      <alignment horizontal="center" vertical="center"/>
    </xf>
    <xf numFmtId="9" fontId="4" fillId="2" borderId="9" xfId="0" applyNumberFormat="1" applyFont="1" applyFill="1" applyBorder="1" applyAlignment="1">
      <alignment horizontal="center" vertical="center"/>
    </xf>
    <xf numFmtId="0" fontId="4" fillId="2" borderId="13" xfId="0" applyFont="1" applyFill="1" applyBorder="1" applyAlignment="1">
      <alignment vertical="center"/>
    </xf>
    <xf numFmtId="0" fontId="4" fillId="5" borderId="0" xfId="0" applyFont="1" applyFill="1" applyAlignment="1">
      <alignment vertical="center"/>
    </xf>
    <xf numFmtId="0" fontId="18" fillId="3" borderId="15" xfId="0" applyFont="1" applyFill="1" applyBorder="1" applyAlignment="1">
      <alignment vertical="center"/>
    </xf>
    <xf numFmtId="0" fontId="4" fillId="3" borderId="15" xfId="0" applyFont="1" applyFill="1" applyBorder="1" applyAlignment="1">
      <alignment vertical="center"/>
    </xf>
    <xf numFmtId="9" fontId="27" fillId="3" borderId="3" xfId="0" applyNumberFormat="1" applyFont="1" applyFill="1" applyBorder="1" applyAlignment="1">
      <alignment horizontal="center" vertical="center" wrapText="1"/>
    </xf>
    <xf numFmtId="0" fontId="8" fillId="3" borderId="15" xfId="0" applyFont="1" applyFill="1" applyBorder="1" applyAlignment="1">
      <alignment vertical="center"/>
    </xf>
    <xf numFmtId="0" fontId="8" fillId="3" borderId="16" xfId="0" applyFont="1" applyFill="1" applyBorder="1" applyAlignment="1">
      <alignment vertical="center"/>
    </xf>
    <xf numFmtId="0" fontId="8" fillId="3" borderId="10" xfId="0" applyFont="1" applyFill="1" applyBorder="1" applyAlignment="1">
      <alignment vertical="center"/>
    </xf>
    <xf numFmtId="0" fontId="22" fillId="3" borderId="15" xfId="0" applyFont="1" applyFill="1" applyBorder="1" applyAlignment="1">
      <alignment vertical="center"/>
    </xf>
    <xf numFmtId="0" fontId="27" fillId="3" borderId="5" xfId="0" applyFont="1" applyFill="1" applyBorder="1" applyAlignment="1">
      <alignment vertical="center"/>
    </xf>
    <xf numFmtId="0" fontId="27" fillId="3" borderId="5" xfId="0" applyFont="1" applyFill="1" applyBorder="1" applyAlignment="1">
      <alignment horizontal="center" vertical="center"/>
    </xf>
    <xf numFmtId="0" fontId="27" fillId="3" borderId="6" xfId="0" applyFont="1" applyFill="1" applyBorder="1" applyAlignment="1">
      <alignment vertical="center"/>
    </xf>
    <xf numFmtId="0" fontId="27" fillId="3" borderId="6" xfId="0" applyFont="1" applyFill="1" applyBorder="1" applyAlignment="1">
      <alignment horizontal="center" vertical="center"/>
    </xf>
    <xf numFmtId="0" fontId="20" fillId="3" borderId="5" xfId="0" applyFont="1" applyFill="1" applyBorder="1" applyAlignment="1">
      <alignment vertical="center"/>
    </xf>
    <xf numFmtId="0" fontId="4" fillId="2" borderId="34" xfId="0" applyFont="1" applyFill="1" applyBorder="1" applyAlignment="1">
      <alignment vertical="center"/>
    </xf>
    <xf numFmtId="9" fontId="4" fillId="2" borderId="34" xfId="0" applyNumberFormat="1" applyFont="1" applyFill="1" applyBorder="1" applyAlignment="1">
      <alignment horizontal="center" vertical="center"/>
    </xf>
    <xf numFmtId="9" fontId="4" fillId="2" borderId="35" xfId="0" applyNumberFormat="1"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4" fillId="2" borderId="10" xfId="0" applyFont="1" applyFill="1" applyBorder="1" applyAlignment="1">
      <alignment vertical="center"/>
    </xf>
    <xf numFmtId="0" fontId="4" fillId="2" borderId="12" xfId="0" applyFont="1" applyFill="1" applyBorder="1" applyAlignment="1">
      <alignment vertical="center"/>
    </xf>
    <xf numFmtId="0" fontId="20" fillId="4" borderId="0" xfId="0" applyFont="1" applyFill="1" applyAlignment="1">
      <alignment horizontal="center" vertical="center"/>
    </xf>
    <xf numFmtId="0" fontId="20" fillId="4" borderId="23" xfId="0" applyFont="1" applyFill="1" applyBorder="1" applyAlignment="1">
      <alignment vertical="center"/>
    </xf>
    <xf numFmtId="9" fontId="27" fillId="3" borderId="0" xfId="2" applyFont="1" applyFill="1" applyBorder="1" applyAlignment="1">
      <alignment horizontal="center" vertical="center" wrapText="1"/>
    </xf>
    <xf numFmtId="0" fontId="22" fillId="3" borderId="38" xfId="0" applyFont="1" applyFill="1" applyBorder="1" applyAlignment="1">
      <alignment horizontal="left" vertical="center"/>
    </xf>
    <xf numFmtId="0" fontId="20" fillId="4" borderId="39" xfId="0" applyFont="1" applyFill="1" applyBorder="1" applyAlignment="1">
      <alignment vertical="center"/>
    </xf>
    <xf numFmtId="9" fontId="20" fillId="4" borderId="39" xfId="2" applyFont="1" applyFill="1" applyBorder="1" applyAlignment="1">
      <alignment vertical="center"/>
    </xf>
    <xf numFmtId="0" fontId="18" fillId="3" borderId="0" xfId="0" applyFont="1" applyFill="1" applyAlignment="1">
      <alignment vertical="center"/>
    </xf>
    <xf numFmtId="0" fontId="22" fillId="3" borderId="0" xfId="0" applyFont="1" applyFill="1" applyAlignment="1">
      <alignment horizontal="center" vertical="center"/>
    </xf>
    <xf numFmtId="0" fontId="20" fillId="3" borderId="0" xfId="0" applyFont="1" applyFill="1" applyAlignment="1">
      <alignment horizontal="left" vertical="center"/>
    </xf>
    <xf numFmtId="0" fontId="27" fillId="3" borderId="0" xfId="0" applyFont="1" applyFill="1" applyAlignment="1">
      <alignment horizontal="center" vertical="center"/>
    </xf>
    <xf numFmtId="0" fontId="20" fillId="3" borderId="0" xfId="0" applyFont="1" applyFill="1" applyAlignment="1">
      <alignment horizontal="left" vertical="center" indent="1"/>
    </xf>
    <xf numFmtId="0" fontId="26" fillId="3" borderId="0" xfId="0" applyFont="1" applyFill="1" applyAlignment="1">
      <alignment horizontal="left" vertical="center"/>
    </xf>
    <xf numFmtId="0" fontId="28" fillId="5" borderId="0" xfId="0" applyFont="1" applyFill="1" applyAlignment="1">
      <alignment horizontal="left" vertical="center" indent="1"/>
    </xf>
    <xf numFmtId="0" fontId="33" fillId="3" borderId="0" xfId="0" applyFont="1" applyFill="1" applyAlignment="1">
      <alignment horizontal="left" vertical="center"/>
    </xf>
    <xf numFmtId="0" fontId="33" fillId="3" borderId="0" xfId="0" applyFont="1" applyFill="1" applyAlignment="1">
      <alignment horizontal="left" vertical="center" indent="1"/>
    </xf>
    <xf numFmtId="0" fontId="33" fillId="3" borderId="0" xfId="0" applyFont="1" applyFill="1" applyAlignment="1">
      <alignment horizontal="left" vertical="center" wrapText="1"/>
    </xf>
    <xf numFmtId="0" fontId="30" fillId="3" borderId="0" xfId="0" applyFont="1" applyFill="1" applyAlignment="1">
      <alignment vertical="center"/>
    </xf>
    <xf numFmtId="0" fontId="28" fillId="5" borderId="0" xfId="0" applyFont="1" applyFill="1" applyAlignment="1">
      <alignment horizontal="left" vertical="center"/>
    </xf>
    <xf numFmtId="0" fontId="26" fillId="3" borderId="0" xfId="0" applyFont="1" applyFill="1" applyAlignment="1">
      <alignment horizontal="left" vertical="center" wrapText="1"/>
    </xf>
    <xf numFmtId="0" fontId="30" fillId="3" borderId="0" xfId="0" applyFont="1" applyFill="1" applyAlignment="1">
      <alignment horizontal="left" vertical="center"/>
    </xf>
    <xf numFmtId="0" fontId="22" fillId="3" borderId="0" xfId="0" applyFont="1" applyFill="1" applyAlignment="1">
      <alignment horizontal="left" vertical="center"/>
    </xf>
    <xf numFmtId="0" fontId="33" fillId="3" borderId="0" xfId="0" applyFont="1" applyFill="1" applyAlignment="1">
      <alignment vertical="center"/>
    </xf>
    <xf numFmtId="0" fontId="25" fillId="3" borderId="0" xfId="0" applyFont="1" applyFill="1" applyAlignment="1">
      <alignment horizontal="center" vertical="center"/>
    </xf>
    <xf numFmtId="0" fontId="26" fillId="3" borderId="0" xfId="0" applyFont="1" applyFill="1" applyAlignment="1">
      <alignment horizontal="center" vertical="center"/>
    </xf>
    <xf numFmtId="0" fontId="22" fillId="3" borderId="42" xfId="0" applyFont="1" applyFill="1" applyBorder="1" applyAlignment="1">
      <alignment vertical="center" wrapText="1"/>
    </xf>
    <xf numFmtId="0" fontId="9" fillId="2" borderId="33" xfId="0" applyFont="1" applyFill="1" applyBorder="1" applyAlignment="1">
      <alignment horizontal="center" vertical="center"/>
    </xf>
    <xf numFmtId="9" fontId="4" fillId="2" borderId="33" xfId="0" applyNumberFormat="1" applyFont="1" applyFill="1" applyBorder="1" applyAlignment="1">
      <alignment horizontal="center" vertical="center"/>
    </xf>
    <xf numFmtId="0" fontId="4" fillId="2" borderId="24" xfId="0" applyFont="1" applyFill="1" applyBorder="1" applyAlignment="1">
      <alignment vertical="center"/>
    </xf>
    <xf numFmtId="0" fontId="18" fillId="3" borderId="23" xfId="0" applyFont="1" applyFill="1" applyBorder="1" applyAlignment="1">
      <alignment vertical="center"/>
    </xf>
    <xf numFmtId="0" fontId="4" fillId="3" borderId="23" xfId="0" applyFont="1" applyFill="1" applyBorder="1" applyAlignment="1">
      <alignment vertical="center"/>
    </xf>
    <xf numFmtId="9" fontId="27" fillId="3" borderId="23" xfId="0" applyNumberFormat="1" applyFont="1" applyFill="1" applyBorder="1" applyAlignment="1">
      <alignment horizontal="center" vertical="center" wrapText="1"/>
    </xf>
    <xf numFmtId="0" fontId="8" fillId="3" borderId="9" xfId="0" applyFont="1" applyFill="1" applyBorder="1" applyAlignment="1">
      <alignment vertical="center"/>
    </xf>
    <xf numFmtId="0" fontId="8" fillId="3" borderId="0" xfId="0" applyFont="1" applyFill="1" applyAlignment="1">
      <alignment horizontal="center" vertical="center"/>
    </xf>
    <xf numFmtId="0" fontId="4" fillId="0" borderId="10" xfId="0" applyFont="1" applyBorder="1" applyAlignment="1">
      <alignment vertical="center"/>
    </xf>
    <xf numFmtId="0" fontId="20" fillId="3" borderId="0" xfId="0" applyFont="1" applyFill="1" applyAlignment="1">
      <alignment horizontal="center" vertical="center"/>
    </xf>
    <xf numFmtId="9" fontId="27" fillId="3" borderId="0" xfId="0" applyNumberFormat="1" applyFont="1" applyFill="1" applyAlignment="1">
      <alignment horizontal="center" vertical="center" wrapText="1"/>
    </xf>
    <xf numFmtId="0" fontId="25" fillId="3" borderId="10" xfId="0" applyFont="1" applyFill="1" applyBorder="1" applyAlignment="1">
      <alignment vertical="center"/>
    </xf>
    <xf numFmtId="0" fontId="27" fillId="3" borderId="10" xfId="0" applyFont="1" applyFill="1" applyBorder="1" applyAlignment="1">
      <alignment vertical="center"/>
    </xf>
    <xf numFmtId="0" fontId="27" fillId="3" borderId="0" xfId="0" applyFont="1" applyFill="1" applyAlignment="1">
      <alignment vertical="center"/>
    </xf>
    <xf numFmtId="0" fontId="22" fillId="3" borderId="0" xfId="0" applyFont="1" applyFill="1" applyAlignment="1">
      <alignment vertical="center"/>
    </xf>
    <xf numFmtId="0" fontId="8" fillId="3" borderId="0" xfId="0" applyFont="1" applyFill="1" applyAlignment="1">
      <alignment vertical="center"/>
    </xf>
    <xf numFmtId="0" fontId="40" fillId="3" borderId="0" xfId="0" applyFont="1" applyFill="1" applyAlignment="1">
      <alignment horizontal="left" vertical="center"/>
    </xf>
    <xf numFmtId="0" fontId="40" fillId="3" borderId="0" xfId="0" applyFont="1" applyFill="1" applyAlignment="1">
      <alignment horizontal="center" vertical="center"/>
    </xf>
    <xf numFmtId="9" fontId="27" fillId="3" borderId="0" xfId="0" applyNumberFormat="1" applyFont="1" applyFill="1" applyAlignment="1">
      <alignment horizontal="center" vertical="center"/>
    </xf>
    <xf numFmtId="0" fontId="27" fillId="3" borderId="18" xfId="0" applyFont="1" applyFill="1" applyBorder="1" applyAlignment="1">
      <alignment vertical="center"/>
    </xf>
    <xf numFmtId="0" fontId="4" fillId="3" borderId="0" xfId="0" applyFont="1" applyFill="1" applyAlignment="1">
      <alignment vertical="center"/>
    </xf>
    <xf numFmtId="0" fontId="20" fillId="3" borderId="0" xfId="0" applyFont="1" applyFill="1" applyAlignment="1">
      <alignment vertical="center"/>
    </xf>
    <xf numFmtId="0" fontId="18" fillId="3" borderId="0" xfId="0" applyFont="1" applyFill="1" applyAlignment="1">
      <alignment horizontal="left" vertical="center"/>
    </xf>
    <xf numFmtId="0" fontId="29" fillId="3" borderId="0" xfId="0" applyFont="1" applyFill="1" applyAlignment="1">
      <alignment horizontal="left" vertical="center"/>
    </xf>
    <xf numFmtId="0" fontId="40" fillId="3" borderId="0" xfId="0" applyFont="1" applyFill="1" applyAlignment="1">
      <alignment vertical="center"/>
    </xf>
    <xf numFmtId="0" fontId="29" fillId="3" borderId="0" xfId="0" applyFont="1" applyFill="1" applyAlignment="1">
      <alignment vertical="center"/>
    </xf>
    <xf numFmtId="0" fontId="27" fillId="5" borderId="0" xfId="0" applyFont="1" applyFill="1" applyAlignment="1">
      <alignment horizontal="left" vertical="center"/>
    </xf>
    <xf numFmtId="0" fontId="27" fillId="3" borderId="0" xfId="0" applyFont="1" applyFill="1" applyAlignment="1">
      <alignment horizontal="left" vertical="center"/>
    </xf>
    <xf numFmtId="0" fontId="27" fillId="3" borderId="10" xfId="0" applyFont="1" applyFill="1" applyBorder="1" applyAlignment="1">
      <alignment horizontal="center" vertical="center"/>
    </xf>
    <xf numFmtId="0" fontId="27" fillId="3" borderId="20" xfId="0" applyFont="1" applyFill="1" applyBorder="1" applyAlignment="1">
      <alignment vertical="center"/>
    </xf>
    <xf numFmtId="0" fontId="27" fillId="3" borderId="12" xfId="0" applyFont="1" applyFill="1" applyBorder="1" applyAlignment="1">
      <alignment vertical="center"/>
    </xf>
    <xf numFmtId="0" fontId="13" fillId="4" borderId="0" xfId="0" applyFont="1" applyFill="1" applyAlignment="1">
      <alignment vertical="center"/>
    </xf>
    <xf numFmtId="0" fontId="42" fillId="3" borderId="0" xfId="0" applyFont="1" applyFill="1" applyAlignment="1">
      <alignment vertical="center" wrapText="1"/>
    </xf>
    <xf numFmtId="0" fontId="19" fillId="3" borderId="22" xfId="0" applyFont="1" applyFill="1" applyBorder="1" applyAlignment="1">
      <alignment horizontal="left" vertical="center"/>
    </xf>
    <xf numFmtId="0" fontId="42" fillId="3" borderId="13" xfId="0" applyFont="1" applyFill="1" applyBorder="1" applyAlignment="1">
      <alignment horizontal="left" vertical="center"/>
    </xf>
    <xf numFmtId="0" fontId="43" fillId="3" borderId="13" xfId="0" applyFont="1" applyFill="1" applyBorder="1" applyAlignment="1">
      <alignment horizontal="left" vertical="center" wrapText="1"/>
    </xf>
    <xf numFmtId="0" fontId="42" fillId="3" borderId="24" xfId="0" applyFont="1" applyFill="1" applyBorder="1" applyAlignment="1">
      <alignment horizontal="left" vertical="center" wrapText="1"/>
    </xf>
    <xf numFmtId="0" fontId="19" fillId="3" borderId="13" xfId="0" applyFont="1" applyFill="1" applyBorder="1" applyAlignment="1">
      <alignment horizontal="left" vertical="center"/>
    </xf>
    <xf numFmtId="0" fontId="42" fillId="3" borderId="13" xfId="0" applyFont="1" applyFill="1" applyBorder="1" applyAlignment="1">
      <alignment horizontal="left" vertical="center" wrapText="1"/>
    </xf>
    <xf numFmtId="0" fontId="19" fillId="3" borderId="14" xfId="0" applyFont="1" applyFill="1" applyBorder="1" applyAlignment="1">
      <alignment horizontal="left" vertical="center"/>
    </xf>
    <xf numFmtId="0" fontId="42" fillId="3" borderId="17"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42" fillId="3" borderId="19" xfId="0" applyFont="1" applyFill="1" applyBorder="1" applyAlignment="1">
      <alignment vertical="center" wrapText="1"/>
    </xf>
    <xf numFmtId="0" fontId="4" fillId="5" borderId="0" xfId="0" applyFont="1" applyFill="1"/>
    <xf numFmtId="0" fontId="43" fillId="3" borderId="4" xfId="0" applyFont="1" applyFill="1" applyBorder="1" applyAlignment="1">
      <alignment horizontal="left" wrapText="1"/>
    </xf>
    <xf numFmtId="0" fontId="4" fillId="5" borderId="4" xfId="0" applyFont="1" applyFill="1" applyBorder="1"/>
    <xf numFmtId="0" fontId="43" fillId="3" borderId="4" xfId="0" applyFont="1" applyFill="1" applyBorder="1" applyAlignment="1">
      <alignment horizontal="left" vertical="center" wrapText="1"/>
    </xf>
    <xf numFmtId="0" fontId="27" fillId="0" borderId="2" xfId="0" applyFont="1" applyBorder="1" applyAlignment="1">
      <alignment horizontal="center" vertical="center"/>
    </xf>
    <xf numFmtId="0" fontId="27" fillId="0" borderId="21" xfId="0" applyFont="1" applyBorder="1" applyAlignment="1">
      <alignment horizontal="center" vertical="center"/>
    </xf>
    <xf numFmtId="0" fontId="44" fillId="5" borderId="21" xfId="0" applyFont="1" applyFill="1" applyBorder="1" applyAlignment="1">
      <alignment horizontal="left" vertical="center"/>
    </xf>
    <xf numFmtId="0" fontId="45" fillId="7" borderId="2" xfId="1" applyFont="1" applyFill="1" applyBorder="1" applyAlignment="1">
      <alignment horizontal="center" vertical="center"/>
    </xf>
    <xf numFmtId="0" fontId="45" fillId="7" borderId="21" xfId="1" applyFont="1" applyFill="1" applyBorder="1" applyAlignment="1">
      <alignment horizontal="center" vertical="center"/>
    </xf>
    <xf numFmtId="17" fontId="20" fillId="0" borderId="2" xfId="1" applyNumberFormat="1" applyFont="1" applyBorder="1" applyAlignment="1">
      <alignment horizontal="center" vertical="center"/>
    </xf>
    <xf numFmtId="17" fontId="20" fillId="0" borderId="21" xfId="1" applyNumberFormat="1" applyFont="1" applyBorder="1" applyAlignment="1">
      <alignment horizontal="center" vertical="center"/>
    </xf>
    <xf numFmtId="17" fontId="20" fillId="8" borderId="2" xfId="1" applyNumberFormat="1" applyFont="1" applyFill="1" applyBorder="1" applyAlignment="1">
      <alignment horizontal="center" vertical="center"/>
    </xf>
    <xf numFmtId="17" fontId="20" fillId="8" borderId="21" xfId="1" applyNumberFormat="1" applyFont="1" applyFill="1" applyBorder="1" applyAlignment="1">
      <alignment horizontal="center" vertical="center"/>
    </xf>
    <xf numFmtId="0" fontId="13" fillId="0" borderId="0" xfId="0" applyFont="1"/>
    <xf numFmtId="0" fontId="39" fillId="7" borderId="30" xfId="0" applyFont="1" applyFill="1" applyBorder="1" applyAlignment="1">
      <alignment horizontal="left" vertical="center" wrapText="1"/>
    </xf>
    <xf numFmtId="0" fontId="23" fillId="5" borderId="50" xfId="0" applyFont="1" applyFill="1" applyBorder="1" applyAlignment="1">
      <alignment horizontal="left" vertical="center"/>
    </xf>
    <xf numFmtId="0" fontId="23" fillId="5" borderId="51" xfId="0" applyFont="1" applyFill="1" applyBorder="1"/>
    <xf numFmtId="0" fontId="23" fillId="5" borderId="51" xfId="0" applyFont="1" applyFill="1" applyBorder="1" applyAlignment="1">
      <alignment horizontal="center" vertical="center"/>
    </xf>
    <xf numFmtId="0" fontId="23" fillId="5" borderId="52" xfId="0" applyFont="1" applyFill="1" applyBorder="1" applyAlignment="1">
      <alignment horizontal="center" vertical="center"/>
    </xf>
    <xf numFmtId="0" fontId="48" fillId="14" borderId="0" xfId="0" applyFont="1" applyFill="1" applyAlignment="1">
      <alignment vertical="center"/>
    </xf>
    <xf numFmtId="0" fontId="47" fillId="11" borderId="31" xfId="0" applyFont="1" applyFill="1" applyBorder="1" applyAlignment="1">
      <alignment horizontal="center" vertical="center" textRotation="90"/>
    </xf>
    <xf numFmtId="0" fontId="47" fillId="11" borderId="36" xfId="0" applyFont="1" applyFill="1" applyBorder="1" applyAlignment="1">
      <alignment horizontal="center" vertical="center" textRotation="90"/>
    </xf>
    <xf numFmtId="0" fontId="1" fillId="5" borderId="0" xfId="0" applyFont="1" applyFill="1"/>
    <xf numFmtId="0" fontId="47" fillId="11" borderId="37" xfId="0" applyFont="1" applyFill="1" applyBorder="1" applyAlignment="1">
      <alignment horizontal="center" vertical="center" textRotation="90"/>
    </xf>
    <xf numFmtId="0" fontId="23" fillId="10" borderId="31" xfId="0" applyFont="1" applyFill="1" applyBorder="1" applyAlignment="1">
      <alignment horizontal="center" vertical="center"/>
    </xf>
    <xf numFmtId="0" fontId="0" fillId="5" borderId="0" xfId="0" applyFill="1" applyAlignment="1">
      <alignment wrapText="1"/>
    </xf>
    <xf numFmtId="0" fontId="4" fillId="2" borderId="0" xfId="0" applyFont="1" applyFill="1" applyAlignment="1">
      <alignment vertical="center" wrapText="1"/>
    </xf>
    <xf numFmtId="0" fontId="4" fillId="0" borderId="0" xfId="0" applyFont="1" applyAlignment="1">
      <alignment vertical="center" wrapText="1"/>
    </xf>
    <xf numFmtId="9" fontId="9" fillId="2" borderId="13" xfId="0" applyNumberFormat="1" applyFont="1" applyFill="1" applyBorder="1" applyAlignment="1">
      <alignment horizontal="center" vertical="center" wrapText="1"/>
    </xf>
    <xf numFmtId="9" fontId="9" fillId="2" borderId="0" xfId="0" applyNumberFormat="1" applyFont="1" applyFill="1" applyAlignment="1">
      <alignment horizontal="center" vertical="center" wrapText="1"/>
    </xf>
    <xf numFmtId="9" fontId="9" fillId="2" borderId="10" xfId="0" applyNumberFormat="1" applyFont="1" applyFill="1" applyBorder="1" applyAlignment="1">
      <alignment horizontal="center" vertical="center" wrapText="1"/>
    </xf>
    <xf numFmtId="9" fontId="4" fillId="2" borderId="13" xfId="0" applyNumberFormat="1" applyFont="1" applyFill="1" applyBorder="1" applyAlignment="1">
      <alignment horizontal="center" vertical="center" wrapText="1"/>
    </xf>
    <xf numFmtId="9" fontId="4" fillId="2" borderId="0" xfId="0" applyNumberFormat="1" applyFont="1" applyFill="1" applyAlignment="1">
      <alignment horizontal="center" vertical="center" wrapText="1"/>
    </xf>
    <xf numFmtId="9" fontId="4" fillId="2" borderId="10" xfId="0" applyNumberFormat="1" applyFont="1" applyFill="1" applyBorder="1" applyAlignment="1">
      <alignment horizontal="center" vertical="center" wrapText="1"/>
    </xf>
    <xf numFmtId="0" fontId="20" fillId="4" borderId="0" xfId="0" applyFont="1" applyFill="1" applyAlignment="1">
      <alignment horizontal="left" vertical="center"/>
    </xf>
    <xf numFmtId="0" fontId="20" fillId="4" borderId="0" xfId="0" applyFont="1" applyFill="1" applyAlignment="1">
      <alignment horizontal="left" vertical="center" wrapText="1"/>
    </xf>
    <xf numFmtId="0" fontId="27" fillId="5" borderId="0" xfId="3" applyFont="1" applyFill="1" applyAlignment="1">
      <alignment horizontal="center" vertical="center" wrapText="1"/>
    </xf>
    <xf numFmtId="0" fontId="8" fillId="5" borderId="0" xfId="3" applyFont="1" applyFill="1" applyAlignment="1">
      <alignment horizontal="center" vertical="center" wrapText="1"/>
    </xf>
    <xf numFmtId="0" fontId="49" fillId="15" borderId="31" xfId="0" applyFont="1" applyFill="1" applyBorder="1" applyAlignment="1">
      <alignment horizontal="left" vertical="center"/>
    </xf>
    <xf numFmtId="0" fontId="43" fillId="3" borderId="0" xfId="0" applyFont="1" applyFill="1" applyAlignment="1">
      <alignment horizontal="left" wrapText="1"/>
    </xf>
    <xf numFmtId="0" fontId="43" fillId="3" borderId="0" xfId="0" applyFont="1" applyFill="1" applyAlignment="1">
      <alignment horizontal="left" vertical="center" wrapText="1"/>
    </xf>
    <xf numFmtId="0" fontId="47" fillId="11" borderId="53" xfId="0" applyFont="1" applyFill="1" applyBorder="1" applyAlignment="1">
      <alignment vertical="center"/>
    </xf>
    <xf numFmtId="0" fontId="47" fillId="11" borderId="53" xfId="0" applyFont="1" applyFill="1" applyBorder="1" applyAlignment="1">
      <alignment horizontal="center" vertical="center"/>
    </xf>
    <xf numFmtId="0" fontId="44" fillId="5" borderId="53" xfId="0" applyFont="1" applyFill="1" applyBorder="1" applyAlignment="1">
      <alignment horizontal="left" vertical="center"/>
    </xf>
    <xf numFmtId="0" fontId="47" fillId="11" borderId="53" xfId="0" applyFont="1" applyFill="1" applyBorder="1" applyAlignment="1">
      <alignment vertical="center" wrapText="1"/>
    </xf>
    <xf numFmtId="0" fontId="13" fillId="2" borderId="0" xfId="0" applyFont="1" applyFill="1"/>
    <xf numFmtId="0" fontId="4" fillId="3" borderId="0" xfId="0" applyFont="1" applyFill="1"/>
    <xf numFmtId="0" fontId="0" fillId="5"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52" fillId="5" borderId="0" xfId="0" applyFont="1" applyFill="1" applyAlignment="1">
      <alignment horizontal="center" vertical="center"/>
    </xf>
    <xf numFmtId="0" fontId="0" fillId="5" borderId="0" xfId="0" applyFill="1" applyAlignment="1">
      <alignment horizontal="center" vertical="center" wrapText="1"/>
    </xf>
    <xf numFmtId="0" fontId="0" fillId="4" borderId="0" xfId="0" applyFill="1" applyAlignment="1">
      <alignment horizontal="center" vertical="center" wrapText="1"/>
    </xf>
    <xf numFmtId="0" fontId="16" fillId="3" borderId="0" xfId="0" applyFont="1" applyFill="1"/>
    <xf numFmtId="0" fontId="10" fillId="3" borderId="0" xfId="5" applyFont="1" applyFill="1"/>
    <xf numFmtId="0" fontId="10" fillId="3" borderId="0" xfId="5" applyFont="1" applyFill="1" applyAlignment="1">
      <alignment horizontal="left" vertical="center"/>
    </xf>
    <xf numFmtId="0" fontId="15" fillId="3" borderId="0" xfId="0" applyFont="1" applyFill="1" applyAlignment="1">
      <alignment horizontal="left" vertical="top"/>
    </xf>
    <xf numFmtId="0" fontId="16" fillId="3" borderId="0" xfId="0" applyFont="1" applyFill="1" applyAlignment="1">
      <alignment horizontal="left" vertical="top" wrapText="1"/>
    </xf>
    <xf numFmtId="0" fontId="15" fillId="3" borderId="0" xfId="0" applyFont="1" applyFill="1"/>
    <xf numFmtId="0" fontId="16" fillId="3" borderId="0" xfId="0" applyFont="1" applyFill="1" applyAlignment="1">
      <alignment wrapText="1"/>
    </xf>
    <xf numFmtId="0" fontId="15" fillId="3" borderId="0" xfId="0" applyFont="1" applyFill="1" applyAlignment="1">
      <alignment horizontal="left" vertical="center"/>
    </xf>
    <xf numFmtId="0" fontId="16" fillId="5" borderId="0" xfId="0" applyFont="1" applyFill="1"/>
    <xf numFmtId="0" fontId="16" fillId="3" borderId="0" xfId="0" applyFont="1" applyFill="1" applyAlignment="1">
      <alignment horizontal="left" vertical="center"/>
    </xf>
    <xf numFmtId="0" fontId="10" fillId="5" borderId="0" xfId="5" applyFont="1" applyFill="1"/>
    <xf numFmtId="0" fontId="51" fillId="5" borderId="0" xfId="0" applyFont="1" applyFill="1" applyAlignment="1">
      <alignment vertical="center"/>
    </xf>
    <xf numFmtId="0" fontId="13" fillId="5" borderId="0" xfId="0" applyFont="1" applyFill="1" applyAlignment="1">
      <alignment vertical="center"/>
    </xf>
    <xf numFmtId="0" fontId="9" fillId="5" borderId="0" xfId="0" applyFont="1" applyFill="1" applyAlignment="1">
      <alignment horizontal="center" vertical="center"/>
    </xf>
    <xf numFmtId="0" fontId="9" fillId="5" borderId="33" xfId="0" applyFont="1" applyFill="1" applyBorder="1" applyAlignment="1">
      <alignment vertical="center"/>
    </xf>
    <xf numFmtId="0" fontId="9" fillId="5" borderId="34" xfId="0" applyFont="1" applyFill="1" applyBorder="1" applyAlignment="1">
      <alignment vertical="center"/>
    </xf>
    <xf numFmtId="0" fontId="4" fillId="5" borderId="34" xfId="0" applyFont="1" applyFill="1" applyBorder="1" applyAlignment="1">
      <alignment vertical="center"/>
    </xf>
    <xf numFmtId="0" fontId="4" fillId="5" borderId="22" xfId="0" applyFont="1" applyFill="1" applyBorder="1" applyAlignment="1">
      <alignment vertical="center"/>
    </xf>
    <xf numFmtId="0" fontId="4" fillId="5" borderId="23" xfId="0" applyFont="1" applyFill="1" applyBorder="1" applyAlignment="1">
      <alignment vertical="center"/>
    </xf>
    <xf numFmtId="0" fontId="37" fillId="5" borderId="13" xfId="0" applyFont="1" applyFill="1" applyBorder="1" applyAlignment="1">
      <alignment vertical="center"/>
    </xf>
    <xf numFmtId="0" fontId="37" fillId="5" borderId="0" xfId="0" applyFont="1" applyFill="1" applyAlignment="1">
      <alignment vertical="center"/>
    </xf>
    <xf numFmtId="0" fontId="37" fillId="5" borderId="13" xfId="0" applyFont="1" applyFill="1" applyBorder="1" applyAlignment="1">
      <alignment horizontal="left" vertical="center" indent="1"/>
    </xf>
    <xf numFmtId="0" fontId="34" fillId="5" borderId="24" xfId="0" applyFont="1" applyFill="1" applyBorder="1" applyAlignment="1">
      <alignment vertical="center"/>
    </xf>
    <xf numFmtId="0" fontId="34" fillId="5" borderId="7" xfId="0" applyFont="1" applyFill="1" applyBorder="1" applyAlignment="1">
      <alignment vertical="center"/>
    </xf>
    <xf numFmtId="0" fontId="34" fillId="5" borderId="13" xfId="0" applyFont="1" applyFill="1" applyBorder="1" applyAlignment="1">
      <alignment vertical="center"/>
    </xf>
    <xf numFmtId="0" fontId="34" fillId="5" borderId="0" xfId="0" applyFont="1" applyFill="1" applyAlignment="1">
      <alignment vertical="center"/>
    </xf>
    <xf numFmtId="0" fontId="23" fillId="5" borderId="13" xfId="0" applyFont="1" applyFill="1" applyBorder="1" applyAlignment="1">
      <alignment vertical="center"/>
    </xf>
    <xf numFmtId="0" fontId="37" fillId="5" borderId="13" xfId="0" applyFont="1" applyFill="1" applyBorder="1" applyAlignment="1">
      <alignment horizontal="left" vertical="center"/>
    </xf>
    <xf numFmtId="0" fontId="35" fillId="5" borderId="13" xfId="0" applyFont="1" applyFill="1" applyBorder="1" applyAlignment="1">
      <alignment horizontal="left" vertical="center" indent="1"/>
    </xf>
    <xf numFmtId="0" fontId="35" fillId="5" borderId="0" xfId="0" applyFont="1" applyFill="1" applyAlignment="1">
      <alignment vertical="center"/>
    </xf>
    <xf numFmtId="0" fontId="4" fillId="5" borderId="13" xfId="0" applyFont="1" applyFill="1" applyBorder="1" applyAlignment="1">
      <alignment vertical="center"/>
    </xf>
    <xf numFmtId="0" fontId="35" fillId="5" borderId="13" xfId="0" applyFont="1" applyFill="1" applyBorder="1" applyAlignment="1">
      <alignment vertical="center"/>
    </xf>
    <xf numFmtId="0" fontId="36" fillId="5" borderId="13" xfId="0" applyFont="1" applyFill="1" applyBorder="1" applyAlignment="1">
      <alignment horizontal="left" vertical="center"/>
    </xf>
    <xf numFmtId="0" fontId="36" fillId="5" borderId="13" xfId="0" applyFont="1" applyFill="1" applyBorder="1" applyAlignment="1">
      <alignment horizontal="left" vertical="center" indent="1"/>
    </xf>
    <xf numFmtId="0" fontId="36" fillId="5" borderId="13" xfId="0" applyFont="1" applyFill="1" applyBorder="1" applyAlignment="1">
      <alignment vertical="center"/>
    </xf>
    <xf numFmtId="0" fontId="37" fillId="5" borderId="24" xfId="0" applyFont="1" applyFill="1" applyBorder="1" applyAlignment="1">
      <alignment vertical="center"/>
    </xf>
    <xf numFmtId="0" fontId="37" fillId="5" borderId="7" xfId="0" applyFont="1" applyFill="1" applyBorder="1" applyAlignment="1">
      <alignment vertical="center"/>
    </xf>
    <xf numFmtId="0" fontId="34" fillId="5" borderId="22" xfId="0" applyFont="1" applyFill="1" applyBorder="1" applyAlignment="1">
      <alignment vertical="center"/>
    </xf>
    <xf numFmtId="0" fontId="34" fillId="5" borderId="23" xfId="0" applyFont="1" applyFill="1" applyBorder="1" applyAlignment="1">
      <alignment vertical="center"/>
    </xf>
    <xf numFmtId="0" fontId="37" fillId="5" borderId="13" xfId="0" applyFont="1" applyFill="1" applyBorder="1" applyAlignment="1">
      <alignment vertical="center" wrapText="1"/>
    </xf>
    <xf numFmtId="0" fontId="4" fillId="5" borderId="4" xfId="0" applyFont="1" applyFill="1" applyBorder="1" applyAlignment="1">
      <alignment vertical="center"/>
    </xf>
    <xf numFmtId="0" fontId="48" fillId="14" borderId="60" xfId="0" applyFont="1" applyFill="1" applyBorder="1" applyAlignment="1">
      <alignment vertical="center"/>
    </xf>
    <xf numFmtId="0" fontId="9" fillId="2" borderId="0" xfId="0" applyFont="1" applyFill="1" applyAlignment="1">
      <alignment horizontal="center" vertical="center"/>
    </xf>
    <xf numFmtId="0" fontId="48" fillId="14" borderId="25" xfId="0" applyFont="1" applyFill="1" applyBorder="1" applyAlignment="1">
      <alignment vertical="center"/>
    </xf>
    <xf numFmtId="0" fontId="54" fillId="5" borderId="0" xfId="5" applyFont="1" applyFill="1"/>
    <xf numFmtId="0" fontId="54" fillId="3" borderId="0" xfId="5" applyFont="1" applyFill="1"/>
    <xf numFmtId="0" fontId="20" fillId="4" borderId="43" xfId="0" applyFont="1" applyFill="1" applyBorder="1" applyAlignment="1">
      <alignment horizontal="left" vertical="center"/>
    </xf>
    <xf numFmtId="0" fontId="55" fillId="5" borderId="50" xfId="0" applyFont="1" applyFill="1" applyBorder="1" applyAlignment="1">
      <alignment horizontal="left" vertical="center"/>
    </xf>
    <xf numFmtId="0" fontId="9" fillId="5" borderId="51" xfId="0" applyFont="1" applyFill="1" applyBorder="1"/>
    <xf numFmtId="0" fontId="9" fillId="5" borderId="51" xfId="0" applyFont="1" applyFill="1" applyBorder="1" applyAlignment="1">
      <alignment horizontal="center"/>
    </xf>
    <xf numFmtId="0" fontId="9" fillId="5" borderId="52" xfId="0" applyFont="1" applyFill="1" applyBorder="1" applyAlignment="1">
      <alignment horizontal="center"/>
    </xf>
    <xf numFmtId="0" fontId="9" fillId="11" borderId="31" xfId="0" applyFont="1" applyFill="1" applyBorder="1" applyAlignment="1">
      <alignment horizontal="center" vertical="center" textRotation="90"/>
    </xf>
    <xf numFmtId="0" fontId="53" fillId="11" borderId="31" xfId="0" applyFont="1" applyFill="1" applyBorder="1" applyAlignment="1">
      <alignment horizontal="center" vertical="center" textRotation="90"/>
    </xf>
    <xf numFmtId="0" fontId="39" fillId="7" borderId="32" xfId="0" applyFont="1" applyFill="1" applyBorder="1" applyAlignment="1">
      <alignment horizontal="left" vertical="center" wrapText="1"/>
    </xf>
    <xf numFmtId="0" fontId="14" fillId="11" borderId="31" xfId="0" applyFont="1" applyFill="1" applyBorder="1" applyAlignment="1">
      <alignment horizontal="center" vertical="center" textRotation="90"/>
    </xf>
    <xf numFmtId="0" fontId="7" fillId="16" borderId="65" xfId="0" applyFont="1" applyFill="1" applyBorder="1" applyAlignment="1">
      <alignment horizontal="center" vertical="center"/>
    </xf>
    <xf numFmtId="0" fontId="24" fillId="0" borderId="32" xfId="1" applyFont="1" applyBorder="1" applyAlignment="1">
      <alignment horizontal="center" vertical="center"/>
    </xf>
    <xf numFmtId="0" fontId="39" fillId="7" borderId="30" xfId="0" applyFont="1" applyFill="1" applyBorder="1" applyAlignment="1">
      <alignment horizontal="center" vertical="center" wrapText="1"/>
    </xf>
    <xf numFmtId="0" fontId="39" fillId="7" borderId="32" xfId="0" applyFont="1" applyFill="1" applyBorder="1" applyAlignment="1">
      <alignment horizontal="center" vertical="center" wrapText="1"/>
    </xf>
    <xf numFmtId="0" fontId="39" fillId="18" borderId="0" xfId="0" applyFont="1" applyFill="1" applyAlignment="1">
      <alignment horizontal="center" vertical="center"/>
    </xf>
    <xf numFmtId="0" fontId="4" fillId="3" borderId="0" xfId="0" applyFont="1" applyFill="1" applyAlignment="1">
      <alignment horizontal="center" vertical="center"/>
    </xf>
    <xf numFmtId="0" fontId="39" fillId="7" borderId="64" xfId="0" applyFont="1" applyFill="1" applyBorder="1" applyAlignment="1">
      <alignment horizontal="left" vertical="center" wrapText="1"/>
    </xf>
    <xf numFmtId="0" fontId="39" fillId="18" borderId="48" xfId="0" applyFont="1" applyFill="1" applyBorder="1" applyAlignment="1">
      <alignment horizontal="center" vertical="center"/>
    </xf>
    <xf numFmtId="0" fontId="10" fillId="0" borderId="0" xfId="5" applyFont="1" applyFill="1" applyAlignment="1">
      <alignment vertical="center"/>
    </xf>
    <xf numFmtId="0" fontId="9" fillId="3" borderId="0" xfId="0" applyFont="1" applyFill="1" applyAlignment="1">
      <alignment horizontal="center" vertical="center" wrapText="1"/>
    </xf>
    <xf numFmtId="0" fontId="37" fillId="5" borderId="13" xfId="0" applyFont="1" applyFill="1" applyBorder="1" applyAlignment="1">
      <alignment horizontal="left" vertical="center" wrapText="1" indent="1"/>
    </xf>
    <xf numFmtId="0" fontId="37" fillId="5" borderId="0" xfId="0" applyFont="1" applyFill="1" applyAlignment="1">
      <alignment vertical="center" wrapText="1"/>
    </xf>
    <xf numFmtId="0" fontId="22" fillId="3" borderId="38" xfId="0" applyFont="1" applyFill="1" applyBorder="1" applyAlignment="1">
      <alignment vertical="center" wrapText="1"/>
    </xf>
    <xf numFmtId="0" fontId="27" fillId="3" borderId="39" xfId="0" applyFont="1" applyFill="1" applyBorder="1" applyAlignment="1">
      <alignment vertical="center"/>
    </xf>
    <xf numFmtId="0" fontId="0" fillId="5" borderId="0" xfId="0" applyFill="1" applyAlignment="1">
      <alignment horizontal="left" vertical="center"/>
    </xf>
    <xf numFmtId="9" fontId="18" fillId="4" borderId="34" xfId="2" applyFont="1" applyFill="1" applyBorder="1" applyAlignment="1" applyProtection="1">
      <alignment horizontal="center" vertical="center"/>
      <protection locked="0" hidden="1"/>
    </xf>
    <xf numFmtId="9" fontId="22" fillId="3" borderId="0" xfId="2" applyFont="1" applyFill="1" applyBorder="1" applyAlignment="1" applyProtection="1">
      <alignment horizontal="center" vertical="center" wrapText="1"/>
      <protection locked="0" hidden="1"/>
    </xf>
    <xf numFmtId="9" fontId="20" fillId="4" borderId="0" xfId="2" applyFont="1" applyFill="1" applyBorder="1" applyAlignment="1" applyProtection="1">
      <alignment vertical="center"/>
      <protection locked="0" hidden="1"/>
    </xf>
    <xf numFmtId="9" fontId="27" fillId="3" borderId="0" xfId="2" applyFont="1" applyFill="1" applyBorder="1" applyAlignment="1" applyProtection="1">
      <alignment horizontal="center" vertical="center" wrapText="1"/>
      <protection locked="0" hidden="1"/>
    </xf>
    <xf numFmtId="9" fontId="20" fillId="4" borderId="0" xfId="2" applyFont="1" applyFill="1" applyBorder="1" applyAlignment="1" applyProtection="1">
      <alignment horizontal="center" vertical="center"/>
      <protection locked="0" hidden="1"/>
    </xf>
    <xf numFmtId="9" fontId="20" fillId="4" borderId="7" xfId="2" applyFont="1" applyFill="1" applyBorder="1" applyAlignment="1" applyProtection="1">
      <alignment vertical="center"/>
      <protection locked="0" hidden="1"/>
    </xf>
    <xf numFmtId="0" fontId="20" fillId="4" borderId="6" xfId="0" applyFont="1" applyFill="1" applyBorder="1" applyAlignment="1" applyProtection="1">
      <alignment vertical="center"/>
      <protection locked="0" hidden="1"/>
    </xf>
    <xf numFmtId="0" fontId="20" fillId="4" borderId="0" xfId="0" applyFont="1" applyFill="1" applyAlignment="1" applyProtection="1">
      <alignment horizontal="center" vertical="center"/>
      <protection locked="0" hidden="1"/>
    </xf>
    <xf numFmtId="0" fontId="20" fillId="4" borderId="0" xfId="0" applyFont="1" applyFill="1" applyAlignment="1" applyProtection="1">
      <alignment vertical="center"/>
      <protection locked="0" hidden="1"/>
    </xf>
    <xf numFmtId="9" fontId="27" fillId="3" borderId="0" xfId="2" applyFont="1" applyFill="1" applyBorder="1" applyAlignment="1" applyProtection="1">
      <alignment horizontal="center" vertical="center"/>
      <protection locked="0" hidden="1"/>
    </xf>
    <xf numFmtId="9" fontId="20" fillId="4" borderId="6" xfId="2" applyFont="1" applyFill="1" applyBorder="1" applyAlignment="1" applyProtection="1">
      <alignment vertical="center"/>
      <protection locked="0" hidden="1"/>
    </xf>
    <xf numFmtId="9" fontId="20" fillId="4" borderId="39" xfId="2" applyFont="1" applyFill="1" applyBorder="1" applyAlignment="1" applyProtection="1">
      <alignment vertical="center"/>
      <protection locked="0" hidden="1"/>
    </xf>
    <xf numFmtId="0" fontId="20" fillId="4" borderId="39" xfId="0" applyFont="1" applyFill="1" applyBorder="1" applyAlignment="1" applyProtection="1">
      <alignment vertical="center"/>
      <protection locked="0" hidden="1"/>
    </xf>
    <xf numFmtId="9" fontId="18" fillId="4" borderId="0" xfId="2" applyFont="1" applyFill="1" applyBorder="1" applyAlignment="1" applyProtection="1">
      <alignment vertical="center"/>
      <protection locked="0" hidden="1"/>
    </xf>
    <xf numFmtId="9" fontId="18" fillId="4" borderId="0" xfId="2" applyFont="1" applyFill="1" applyBorder="1" applyAlignment="1" applyProtection="1">
      <alignment horizontal="center" vertical="center"/>
      <protection locked="0" hidden="1"/>
    </xf>
    <xf numFmtId="0" fontId="20" fillId="4" borderId="7" xfId="0" applyFont="1" applyFill="1" applyBorder="1" applyAlignment="1" applyProtection="1">
      <alignment vertical="center"/>
      <protection locked="0" hidden="1"/>
    </xf>
    <xf numFmtId="0" fontId="20" fillId="4" borderId="40" xfId="0" applyFont="1" applyFill="1" applyBorder="1" applyAlignment="1" applyProtection="1">
      <alignment horizontal="left" vertical="center"/>
      <protection locked="0" hidden="1"/>
    </xf>
    <xf numFmtId="0" fontId="20" fillId="4" borderId="41" xfId="0" applyFont="1" applyFill="1" applyBorder="1" applyAlignment="1" applyProtection="1">
      <alignment horizontal="left" vertical="center"/>
      <protection locked="0" hidden="1"/>
    </xf>
    <xf numFmtId="0" fontId="20" fillId="4" borderId="43" xfId="0" applyFont="1" applyFill="1" applyBorder="1" applyAlignment="1" applyProtection="1">
      <alignment horizontal="left" vertical="center"/>
      <protection locked="0" hidden="1"/>
    </xf>
    <xf numFmtId="2" fontId="32" fillId="4" borderId="0" xfId="0" applyNumberFormat="1" applyFont="1" applyFill="1"/>
    <xf numFmtId="2" fontId="19" fillId="3" borderId="0" xfId="0" applyNumberFormat="1" applyFont="1" applyFill="1" applyAlignment="1">
      <alignment horizontal="left" wrapText="1"/>
    </xf>
    <xf numFmtId="2" fontId="32" fillId="3" borderId="0" xfId="0" applyNumberFormat="1" applyFont="1" applyFill="1" applyAlignment="1">
      <alignment horizontal="left" wrapText="1"/>
    </xf>
    <xf numFmtId="2" fontId="32" fillId="3" borderId="13" xfId="0" applyNumberFormat="1" applyFont="1" applyFill="1" applyBorder="1" applyAlignment="1">
      <alignment horizontal="left" wrapText="1"/>
    </xf>
    <xf numFmtId="0" fontId="46" fillId="14" borderId="0" xfId="0" applyFont="1" applyFill="1" applyAlignment="1" applyProtection="1">
      <alignment vertical="center"/>
      <protection locked="0"/>
    </xf>
    <xf numFmtId="0" fontId="13" fillId="5" borderId="0" xfId="0" applyFont="1" applyFill="1" applyAlignment="1" applyProtection="1">
      <alignment vertical="center"/>
      <protection hidden="1"/>
    </xf>
    <xf numFmtId="0" fontId="13" fillId="5" borderId="0" xfId="0" applyFont="1" applyFill="1" applyAlignment="1" applyProtection="1">
      <alignment horizontal="left" vertical="center"/>
      <protection hidden="1"/>
    </xf>
    <xf numFmtId="0" fontId="13" fillId="5" borderId="0" xfId="0" applyFont="1" applyFill="1" applyAlignment="1" applyProtection="1">
      <alignment horizontal="left" vertical="center" wrapText="1"/>
      <protection hidden="1"/>
    </xf>
    <xf numFmtId="0" fontId="4" fillId="5" borderId="0" xfId="0" applyFont="1" applyFill="1" applyAlignment="1" applyProtection="1">
      <alignment vertical="center"/>
      <protection locked="0"/>
    </xf>
    <xf numFmtId="9" fontId="9" fillId="2" borderId="34" xfId="0" applyNumberFormat="1" applyFont="1" applyFill="1" applyBorder="1" applyAlignment="1" applyProtection="1">
      <alignment horizontal="center" vertical="center"/>
      <protection locked="0" hidden="1"/>
    </xf>
    <xf numFmtId="9" fontId="9" fillId="2" borderId="35" xfId="0" applyNumberFormat="1" applyFont="1" applyFill="1" applyBorder="1" applyAlignment="1" applyProtection="1">
      <alignment horizontal="center" vertical="center"/>
      <protection locked="0" hidden="1"/>
    </xf>
    <xf numFmtId="9" fontId="9" fillId="2" borderId="13" xfId="0" applyNumberFormat="1" applyFont="1" applyFill="1" applyBorder="1" applyAlignment="1" applyProtection="1">
      <alignment horizontal="center" vertical="center"/>
      <protection locked="0" hidden="1"/>
    </xf>
    <xf numFmtId="9" fontId="9" fillId="2" borderId="0" xfId="0" applyNumberFormat="1" applyFont="1" applyFill="1" applyAlignment="1" applyProtection="1">
      <alignment horizontal="center" vertical="center"/>
      <protection locked="0" hidden="1"/>
    </xf>
    <xf numFmtId="9" fontId="9" fillId="2" borderId="10" xfId="0" applyNumberFormat="1" applyFont="1" applyFill="1" applyBorder="1" applyAlignment="1" applyProtection="1">
      <alignment horizontal="center" vertical="center"/>
      <protection locked="0" hidden="1"/>
    </xf>
    <xf numFmtId="9" fontId="4" fillId="2" borderId="13" xfId="0" applyNumberFormat="1" applyFont="1" applyFill="1" applyBorder="1" applyAlignment="1" applyProtection="1">
      <alignment horizontal="center" vertical="center"/>
      <protection locked="0" hidden="1"/>
    </xf>
    <xf numFmtId="9" fontId="4" fillId="2" borderId="0" xfId="0" applyNumberFormat="1" applyFont="1" applyFill="1" applyAlignment="1" applyProtection="1">
      <alignment horizontal="center" vertical="center"/>
      <protection locked="0" hidden="1"/>
    </xf>
    <xf numFmtId="9" fontId="4" fillId="2" borderId="10" xfId="0" applyNumberFormat="1" applyFont="1" applyFill="1" applyBorder="1" applyAlignment="1" applyProtection="1">
      <alignment horizontal="center" vertical="center"/>
      <protection locked="0" hidden="1"/>
    </xf>
    <xf numFmtId="9" fontId="9" fillId="2" borderId="13" xfId="2" applyFont="1" applyFill="1" applyBorder="1" applyAlignment="1" applyProtection="1">
      <alignment horizontal="center" vertical="center"/>
      <protection locked="0" hidden="1"/>
    </xf>
    <xf numFmtId="9" fontId="9" fillId="2" borderId="13" xfId="0" applyNumberFormat="1" applyFont="1" applyFill="1" applyBorder="1" applyAlignment="1" applyProtection="1">
      <alignment horizontal="center" vertical="center" wrapText="1"/>
      <protection locked="0" hidden="1"/>
    </xf>
    <xf numFmtId="9" fontId="9" fillId="2" borderId="0" xfId="0" applyNumberFormat="1" applyFont="1" applyFill="1" applyAlignment="1" applyProtection="1">
      <alignment horizontal="center" vertical="center" wrapText="1"/>
      <protection locked="0" hidden="1"/>
    </xf>
    <xf numFmtId="9" fontId="9" fillId="2" borderId="10" xfId="0" applyNumberFormat="1" applyFont="1" applyFill="1" applyBorder="1" applyAlignment="1" applyProtection="1">
      <alignment horizontal="center" vertical="center" wrapText="1"/>
      <protection locked="0" hidden="1"/>
    </xf>
    <xf numFmtId="9" fontId="4" fillId="2" borderId="13" xfId="0" applyNumberFormat="1" applyFont="1" applyFill="1" applyBorder="1" applyAlignment="1" applyProtection="1">
      <alignment horizontal="center" vertical="center" wrapText="1"/>
      <protection locked="0" hidden="1"/>
    </xf>
    <xf numFmtId="9" fontId="4" fillId="2" borderId="0" xfId="0" applyNumberFormat="1" applyFont="1" applyFill="1" applyAlignment="1" applyProtection="1">
      <alignment horizontal="center" vertical="center" wrapText="1"/>
      <protection locked="0" hidden="1"/>
    </xf>
    <xf numFmtId="9" fontId="4" fillId="2" borderId="10" xfId="0" applyNumberFormat="1" applyFont="1" applyFill="1" applyBorder="1" applyAlignment="1" applyProtection="1">
      <alignment horizontal="center" vertical="center" wrapText="1"/>
      <protection locked="0" hidden="1"/>
    </xf>
    <xf numFmtId="0" fontId="59" fillId="0" borderId="0" xfId="5" applyFont="1" applyFill="1" applyAlignment="1">
      <alignment horizontal="left" vertical="center" wrapText="1"/>
    </xf>
    <xf numFmtId="0" fontId="59" fillId="0" borderId="0" xfId="5" applyFont="1" applyFill="1" applyAlignment="1">
      <alignment vertical="center" wrapText="1"/>
    </xf>
    <xf numFmtId="0" fontId="59" fillId="0" borderId="0" xfId="5" applyFont="1" applyFill="1" applyBorder="1" applyAlignment="1" applyProtection="1">
      <alignment vertical="center" wrapText="1"/>
      <protection locked="0"/>
    </xf>
    <xf numFmtId="0" fontId="59" fillId="0" borderId="0" xfId="5" applyFont="1"/>
    <xf numFmtId="0" fontId="23" fillId="12" borderId="0" xfId="0" applyFont="1" applyFill="1" applyAlignment="1">
      <alignment vertical="center"/>
    </xf>
    <xf numFmtId="0" fontId="0" fillId="2" borderId="0" xfId="0" applyFill="1" applyAlignment="1">
      <alignment horizontal="center" vertical="center"/>
    </xf>
    <xf numFmtId="0" fontId="23" fillId="17" borderId="0" xfId="0" applyFont="1" applyFill="1" applyAlignment="1">
      <alignment vertical="center"/>
    </xf>
    <xf numFmtId="0" fontId="10" fillId="5" borderId="0" xfId="5" applyFont="1" applyFill="1" applyAlignment="1">
      <alignment vertical="center" wrapText="1"/>
    </xf>
    <xf numFmtId="0" fontId="20" fillId="4" borderId="35" xfId="0" applyFont="1" applyFill="1" applyBorder="1" applyAlignment="1">
      <alignment vertical="center"/>
    </xf>
    <xf numFmtId="0" fontId="9" fillId="11" borderId="47" xfId="0" applyFont="1" applyFill="1" applyBorder="1" applyAlignment="1">
      <alignment horizontal="center" vertical="center" textRotation="90"/>
    </xf>
    <xf numFmtId="0" fontId="9" fillId="10" borderId="66" xfId="0" applyFont="1" applyFill="1" applyBorder="1" applyAlignment="1">
      <alignment horizontal="center" vertical="center"/>
    </xf>
    <xf numFmtId="0" fontId="39" fillId="7" borderId="67" xfId="0" applyFont="1" applyFill="1" applyBorder="1" applyAlignment="1">
      <alignment horizontal="center" vertical="center" wrapText="1"/>
    </xf>
    <xf numFmtId="0" fontId="39" fillId="7" borderId="68" xfId="0" applyFont="1" applyFill="1" applyBorder="1" applyAlignment="1">
      <alignment horizontal="center" vertical="center" wrapText="1"/>
    </xf>
    <xf numFmtId="0" fontId="0" fillId="5" borderId="49" xfId="0" applyFill="1" applyBorder="1" applyAlignment="1">
      <alignment horizontal="center" vertical="center"/>
    </xf>
    <xf numFmtId="0" fontId="52" fillId="5" borderId="49" xfId="0" applyFont="1" applyFill="1" applyBorder="1" applyAlignment="1">
      <alignment horizontal="center" vertical="center"/>
    </xf>
    <xf numFmtId="0" fontId="23" fillId="12" borderId="30" xfId="0" applyFont="1" applyFill="1" applyBorder="1" applyAlignment="1">
      <alignment horizontal="center" vertical="center"/>
    </xf>
    <xf numFmtId="0" fontId="23" fillId="12" borderId="49" xfId="0" applyFont="1" applyFill="1" applyBorder="1" applyAlignment="1">
      <alignment horizontal="center" vertical="center"/>
    </xf>
    <xf numFmtId="0" fontId="23" fillId="17" borderId="49" xfId="0" applyFont="1" applyFill="1" applyBorder="1" applyAlignment="1">
      <alignment horizontal="center" vertical="center"/>
    </xf>
    <xf numFmtId="0" fontId="9" fillId="10" borderId="66" xfId="0" applyFont="1" applyFill="1" applyBorder="1" applyAlignment="1">
      <alignment horizontal="center" vertical="center" wrapText="1"/>
    </xf>
    <xf numFmtId="0" fontId="23" fillId="14" borderId="60" xfId="0" applyFont="1" applyFill="1" applyBorder="1" applyAlignment="1" applyProtection="1">
      <alignment vertical="center"/>
      <protection locked="0"/>
    </xf>
    <xf numFmtId="0" fontId="60" fillId="14" borderId="63" xfId="0" applyFont="1" applyFill="1" applyBorder="1" applyAlignment="1" applyProtection="1">
      <alignment vertical="center"/>
      <protection locked="0"/>
    </xf>
    <xf numFmtId="0" fontId="39" fillId="6" borderId="0" xfId="0" applyFont="1" applyFill="1" applyAlignment="1">
      <alignment horizontal="center" vertical="center"/>
    </xf>
    <xf numFmtId="0" fontId="4" fillId="5" borderId="0" xfId="0" applyFont="1" applyFill="1" applyAlignment="1">
      <alignment horizontal="center" vertical="center"/>
    </xf>
    <xf numFmtId="0" fontId="4" fillId="4" borderId="0" xfId="0" applyFont="1" applyFill="1" applyAlignment="1">
      <alignment horizontal="center" vertical="center" wrapText="1"/>
    </xf>
    <xf numFmtId="0" fontId="6" fillId="5" borderId="0" xfId="3" applyFont="1" applyFill="1" applyAlignment="1">
      <alignment vertical="center"/>
    </xf>
    <xf numFmtId="0" fontId="7" fillId="5" borderId="0" xfId="3" applyFont="1" applyFill="1" applyAlignment="1">
      <alignment horizontal="center" wrapText="1"/>
    </xf>
    <xf numFmtId="0" fontId="7" fillId="5" borderId="0" xfId="3" applyFont="1" applyFill="1" applyAlignment="1">
      <alignment wrapText="1"/>
    </xf>
    <xf numFmtId="0" fontId="27" fillId="5" borderId="0" xfId="3" applyFont="1" applyFill="1" applyAlignment="1">
      <alignment vertical="center" wrapText="1"/>
    </xf>
    <xf numFmtId="0" fontId="8" fillId="5" borderId="0" xfId="3" applyFont="1" applyFill="1" applyAlignment="1">
      <alignment vertical="center" wrapText="1"/>
    </xf>
    <xf numFmtId="0" fontId="7" fillId="5" borderId="0" xfId="3" applyFont="1" applyFill="1" applyAlignment="1">
      <alignment horizontal="center" vertical="center" wrapText="1"/>
    </xf>
    <xf numFmtId="0" fontId="4" fillId="5" borderId="28" xfId="3" applyFont="1" applyFill="1" applyBorder="1" applyAlignment="1">
      <alignment horizontal="center" vertical="top" wrapText="1"/>
    </xf>
    <xf numFmtId="0" fontId="4" fillId="5" borderId="29" xfId="3" applyFont="1" applyFill="1" applyBorder="1" applyAlignment="1">
      <alignment horizontal="center" vertical="top" wrapText="1"/>
    </xf>
    <xf numFmtId="0" fontId="8" fillId="5" borderId="0" xfId="3" applyFont="1" applyFill="1" applyAlignment="1">
      <alignment horizontal="center" vertical="top" wrapText="1"/>
    </xf>
    <xf numFmtId="0" fontId="12" fillId="5" borderId="0" xfId="3" applyFont="1" applyFill="1" applyAlignment="1">
      <alignment horizontal="center" vertical="center" wrapText="1"/>
    </xf>
    <xf numFmtId="0" fontId="13" fillId="9" borderId="0" xfId="3" applyFont="1" applyFill="1" applyAlignment="1">
      <alignment horizontal="left" vertical="top" wrapText="1"/>
    </xf>
    <xf numFmtId="0" fontId="14" fillId="0" borderId="26" xfId="3" applyFont="1" applyBorder="1" applyAlignment="1">
      <alignment horizontal="center"/>
    </xf>
    <xf numFmtId="0" fontId="14" fillId="0" borderId="27" xfId="3" applyFont="1" applyBorder="1" applyAlignment="1">
      <alignment horizontal="center"/>
    </xf>
    <xf numFmtId="0" fontId="4" fillId="0" borderId="0" xfId="3" applyFont="1" applyAlignment="1">
      <alignment horizontal="left" vertical="center" wrapText="1"/>
    </xf>
    <xf numFmtId="0" fontId="16" fillId="5" borderId="0" xfId="0" applyFont="1" applyFill="1" applyAlignment="1">
      <alignment horizontal="left" vertical="top" wrapText="1"/>
    </xf>
    <xf numFmtId="0" fontId="16" fillId="3" borderId="0" xfId="0" applyFont="1" applyFill="1" applyAlignment="1">
      <alignment horizontal="left" vertical="top" wrapText="1"/>
    </xf>
    <xf numFmtId="0" fontId="16" fillId="3" borderId="0" xfId="0" applyFont="1" applyFill="1" applyAlignment="1">
      <alignment horizontal="left" vertical="center" wrapText="1"/>
    </xf>
    <xf numFmtId="0" fontId="7" fillId="0" borderId="0" xfId="3" applyFont="1" applyAlignment="1">
      <alignment horizontal="center" vertical="center" wrapText="1"/>
    </xf>
    <xf numFmtId="0" fontId="7" fillId="5" borderId="0" xfId="3" applyFont="1" applyFill="1" applyAlignment="1">
      <alignment horizontal="center" wrapText="1"/>
    </xf>
    <xf numFmtId="0" fontId="10" fillId="5" borderId="0" xfId="5" applyFont="1" applyFill="1" applyAlignment="1">
      <alignment horizontal="center" vertical="center" wrapText="1"/>
    </xf>
    <xf numFmtId="0" fontId="20" fillId="4" borderId="0" xfId="0" applyFont="1" applyFill="1" applyAlignment="1">
      <alignment horizontal="left" vertical="center" wrapText="1"/>
    </xf>
    <xf numFmtId="0" fontId="20" fillId="4" borderId="0" xfId="0" applyFont="1" applyFill="1" applyAlignment="1">
      <alignment horizontal="left" vertical="center"/>
    </xf>
    <xf numFmtId="0" fontId="4" fillId="4" borderId="0" xfId="0" applyFont="1" applyFill="1" applyAlignment="1">
      <alignment horizontal="left" vertical="top" wrapText="1"/>
    </xf>
    <xf numFmtId="0" fontId="25" fillId="3" borderId="8" xfId="0" applyFont="1" applyFill="1" applyBorder="1" applyAlignment="1">
      <alignment vertical="center" wrapText="1"/>
    </xf>
    <xf numFmtId="0" fontId="18" fillId="4" borderId="0" xfId="0" applyFont="1" applyFill="1" applyAlignment="1">
      <alignment horizontal="left" vertical="center" wrapText="1"/>
    </xf>
    <xf numFmtId="0" fontId="18" fillId="4" borderId="0" xfId="0" applyFont="1" applyFill="1" applyAlignment="1">
      <alignment horizontal="left" vertical="center"/>
    </xf>
    <xf numFmtId="0" fontId="23" fillId="11" borderId="31" xfId="0" applyFont="1" applyFill="1" applyBorder="1" applyAlignment="1">
      <alignment horizontal="center" vertical="center"/>
    </xf>
    <xf numFmtId="0" fontId="23" fillId="11" borderId="32" xfId="0" applyFont="1" applyFill="1" applyBorder="1" applyAlignment="1">
      <alignment horizontal="center" vertical="center"/>
    </xf>
    <xf numFmtId="0" fontId="23" fillId="11" borderId="31" xfId="0" applyFont="1" applyFill="1" applyBorder="1" applyAlignment="1">
      <alignment horizontal="center" vertical="center" wrapText="1"/>
    </xf>
    <xf numFmtId="0" fontId="23" fillId="11" borderId="32" xfId="0" applyFont="1" applyFill="1" applyBorder="1" applyAlignment="1">
      <alignment horizontal="center" vertical="center" wrapText="1"/>
    </xf>
    <xf numFmtId="0" fontId="56" fillId="11" borderId="61" xfId="0" applyFont="1" applyFill="1" applyBorder="1" applyAlignment="1" applyProtection="1">
      <alignment horizontal="center" vertical="center" textRotation="90"/>
      <protection locked="0"/>
    </xf>
    <xf numFmtId="0" fontId="56" fillId="11" borderId="62" xfId="0" applyFont="1" applyFill="1" applyBorder="1" applyAlignment="1" applyProtection="1">
      <alignment horizontal="center" vertical="center" textRotation="90"/>
      <protection locked="0"/>
    </xf>
    <xf numFmtId="0" fontId="23" fillId="5" borderId="13" xfId="0" applyFont="1" applyFill="1" applyBorder="1" applyAlignment="1">
      <alignment horizontal="left" vertical="center"/>
    </xf>
    <xf numFmtId="0" fontId="23" fillId="5" borderId="0" xfId="0" applyFont="1" applyFill="1" applyAlignment="1">
      <alignment horizontal="left" vertical="center"/>
    </xf>
    <xf numFmtId="0" fontId="23" fillId="5" borderId="13" xfId="0" applyFont="1" applyFill="1" applyBorder="1" applyAlignment="1">
      <alignment horizontal="left" vertical="center" wrapText="1"/>
    </xf>
    <xf numFmtId="0" fontId="23" fillId="5" borderId="0" xfId="0" applyFont="1" applyFill="1" applyAlignment="1">
      <alignment horizontal="left" vertical="center" wrapText="1"/>
    </xf>
    <xf numFmtId="0" fontId="4" fillId="2" borderId="0" xfId="0" applyFont="1" applyFill="1" applyAlignment="1">
      <alignment horizontal="center" vertical="center"/>
    </xf>
    <xf numFmtId="0" fontId="9" fillId="2" borderId="0" xfId="0" applyFont="1" applyFill="1" applyAlignment="1">
      <alignment horizontal="center" vertical="center"/>
    </xf>
    <xf numFmtId="0" fontId="46" fillId="13" borderId="45" xfId="0" applyFont="1" applyFill="1" applyBorder="1" applyAlignment="1">
      <alignment horizontal="center" vertical="center"/>
    </xf>
    <xf numFmtId="0" fontId="46" fillId="13" borderId="44" xfId="0" applyFont="1" applyFill="1" applyBorder="1" applyAlignment="1">
      <alignment horizontal="center" vertical="center"/>
    </xf>
    <xf numFmtId="0" fontId="9" fillId="3" borderId="25" xfId="0" applyFont="1" applyFill="1" applyBorder="1" applyAlignment="1">
      <alignment horizontal="center" vertical="center" wrapText="1"/>
    </xf>
    <xf numFmtId="0" fontId="23" fillId="10" borderId="48" xfId="0" applyFont="1" applyFill="1" applyBorder="1" applyAlignment="1">
      <alignment horizontal="center" vertical="center"/>
    </xf>
    <xf numFmtId="0" fontId="23" fillId="10" borderId="49" xfId="0" applyFont="1" applyFill="1" applyBorder="1" applyAlignment="1">
      <alignment horizontal="center" vertical="center"/>
    </xf>
    <xf numFmtId="0" fontId="9" fillId="10" borderId="66" xfId="0" applyFont="1" applyFill="1" applyBorder="1" applyAlignment="1">
      <alignment horizontal="center" vertical="center"/>
    </xf>
    <xf numFmtId="0" fontId="51" fillId="5" borderId="60" xfId="0" applyFont="1" applyFill="1" applyBorder="1" applyAlignment="1">
      <alignment horizontal="center" vertical="center"/>
    </xf>
    <xf numFmtId="0" fontId="7" fillId="3" borderId="60" xfId="3" applyFont="1" applyFill="1" applyBorder="1" applyAlignment="1">
      <alignment horizontal="center" vertical="center" wrapText="1"/>
    </xf>
    <xf numFmtId="0" fontId="47" fillId="11" borderId="53" xfId="0" applyFont="1" applyFill="1" applyBorder="1" applyAlignment="1">
      <alignment horizontal="left" vertical="center" wrapText="1"/>
    </xf>
    <xf numFmtId="0" fontId="47" fillId="11" borderId="55" xfId="0" applyFont="1" applyFill="1" applyBorder="1" applyAlignment="1">
      <alignment horizontal="left" vertical="center" wrapText="1"/>
    </xf>
    <xf numFmtId="0" fontId="47" fillId="11" borderId="56" xfId="0" applyFont="1" applyFill="1" applyBorder="1" applyAlignment="1">
      <alignment horizontal="left" vertical="center" wrapText="1"/>
    </xf>
    <xf numFmtId="0" fontId="47" fillId="11" borderId="54" xfId="0" applyFont="1" applyFill="1" applyBorder="1" applyAlignment="1">
      <alignment horizontal="left" vertical="center" wrapText="1"/>
    </xf>
    <xf numFmtId="0" fontId="15" fillId="10" borderId="46" xfId="0" applyFont="1" applyFill="1" applyBorder="1" applyAlignment="1">
      <alignment horizontal="left" vertical="center"/>
    </xf>
    <xf numFmtId="0" fontId="15" fillId="10" borderId="59" xfId="0" applyFont="1" applyFill="1" applyBorder="1" applyAlignment="1">
      <alignment horizontal="left" vertical="center"/>
    </xf>
    <xf numFmtId="0" fontId="15" fillId="10" borderId="47" xfId="0" applyFont="1" applyFill="1" applyBorder="1" applyAlignment="1">
      <alignment horizontal="left" vertical="center"/>
    </xf>
    <xf numFmtId="0" fontId="47" fillId="11" borderId="57" xfId="0" applyFont="1" applyFill="1" applyBorder="1" applyAlignment="1">
      <alignment horizontal="left" vertical="top" wrapText="1"/>
    </xf>
    <xf numFmtId="0" fontId="47" fillId="11" borderId="56" xfId="0" applyFont="1" applyFill="1" applyBorder="1" applyAlignment="1">
      <alignment horizontal="left" vertical="top" wrapText="1"/>
    </xf>
    <xf numFmtId="0" fontId="47" fillId="11" borderId="54" xfId="0" applyFont="1" applyFill="1" applyBorder="1" applyAlignment="1">
      <alignment horizontal="left" vertical="top" wrapText="1"/>
    </xf>
    <xf numFmtId="0" fontId="47" fillId="11" borderId="58" xfId="0" applyFont="1" applyFill="1" applyBorder="1" applyAlignment="1">
      <alignment horizontal="left" vertical="top" wrapText="1"/>
    </xf>
  </cellXfs>
  <cellStyles count="7">
    <cellStyle name="Hyperlink" xfId="5" builtinId="8"/>
    <cellStyle name="Hyperlink 2" xfId="4" xr:uid="{CE04EC21-F9E8-4330-9060-F04A95537821}"/>
    <cellStyle name="Normal" xfId="0" builtinId="0"/>
    <cellStyle name="Normal 3" xfId="6" xr:uid="{57415E0A-F56A-4EF5-AC61-ED2EAD987240}"/>
    <cellStyle name="Normal 3 2 4 3 2" xfId="1" xr:uid="{8CF8F031-5D43-49E3-804A-C012C842DACC}"/>
    <cellStyle name="Normal 6" xfId="3" xr:uid="{37146AD1-4E9D-4D77-8F5D-83843F15286D}"/>
    <cellStyle name="Percent" xfId="2" builtinId="5"/>
  </cellStyles>
  <dxfs count="180">
    <dxf>
      <fill>
        <patternFill patternType="solid">
          <fgColor theme="0"/>
          <bgColor rgb="FFE6E6E6"/>
        </patternFill>
      </fill>
    </dxf>
    <dxf>
      <font>
        <color theme="1"/>
      </font>
      <fill>
        <patternFill patternType="solid">
          <bgColor rgb="FFC4C4C4"/>
        </patternFill>
      </fill>
    </dxf>
    <dxf>
      <fill>
        <patternFill patternType="solid">
          <fgColor rgb="FFC4C4C4"/>
          <bgColor rgb="FFC4C4C4"/>
        </patternFill>
      </fill>
    </dxf>
    <dxf>
      <font>
        <color theme="0"/>
      </font>
      <fill>
        <patternFill>
          <bgColor rgb="FFEB3524"/>
        </patternFill>
      </fill>
    </dxf>
    <dxf>
      <fill>
        <patternFill>
          <bgColor rgb="FFF58220"/>
        </patternFill>
      </fill>
    </dxf>
    <dxf>
      <fill>
        <patternFill>
          <bgColor rgb="FFD6E040"/>
        </patternFill>
      </fill>
    </dxf>
    <dxf>
      <fill>
        <patternFill>
          <bgColor rgb="FF8BC751"/>
        </patternFill>
      </fill>
    </dxf>
    <dxf>
      <fill>
        <patternFill>
          <bgColor rgb="FF45AA07"/>
        </patternFill>
      </fill>
    </dxf>
    <dxf>
      <fill>
        <patternFill>
          <bgColor rgb="FFFFCD03"/>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2D050"/>
      </font>
    </dxf>
    <dxf>
      <font>
        <color rgb="FFFF0000"/>
      </font>
    </dxf>
    <dxf>
      <font>
        <color theme="1"/>
      </font>
      <fill>
        <patternFill>
          <bgColor theme="6"/>
        </patternFill>
      </fill>
    </dxf>
    <dxf>
      <font>
        <color auto="1"/>
      </font>
      <fill>
        <patternFill>
          <bgColor theme="6"/>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rgb="FFC4C4C4"/>
        </patternFill>
      </fill>
    </dxf>
    <dxf>
      <font>
        <color rgb="FF006100"/>
      </font>
      <fill>
        <patternFill>
          <bgColor rgb="FFC6EFCE"/>
        </patternFill>
      </fill>
    </dxf>
    <dxf>
      <font>
        <color theme="1" tint="0.34998626667073579"/>
      </font>
      <fill>
        <patternFill patternType="solid">
          <bgColor rgb="FFC4C4C4"/>
        </patternFill>
      </fill>
    </dxf>
    <dxf>
      <font>
        <color rgb="FF006100"/>
      </font>
      <fill>
        <patternFill>
          <bgColor rgb="FFC6EFCE"/>
        </patternFill>
      </fill>
    </dxf>
    <dxf>
      <font>
        <color rgb="FF9C0006"/>
      </font>
      <fill>
        <patternFill>
          <bgColor rgb="FFFFC7CE"/>
        </patternFill>
      </fill>
    </dxf>
    <dxf>
      <font>
        <color theme="1" tint="0.34998626667073579"/>
      </font>
      <fill>
        <patternFill patternType="solid">
          <bgColor theme="2" tint="-9.9978637043366805E-2"/>
        </patternFill>
      </fill>
    </dxf>
    <dxf>
      <font>
        <color rgb="FF006100"/>
      </font>
      <fill>
        <patternFill>
          <bgColor rgb="FFC6EFCE"/>
        </patternFill>
      </fill>
    </dxf>
    <dxf>
      <font>
        <color theme="1" tint="0.34998626667073579"/>
      </font>
      <fill>
        <patternFill patternType="solid">
          <bgColor theme="2" tint="-9.9978637043366805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rgb="FFC4C4C4"/>
        </patternFill>
      </fill>
    </dxf>
    <dxf>
      <font>
        <color rgb="FF006100"/>
      </font>
      <fill>
        <patternFill>
          <bgColor rgb="FFC6EFCE"/>
        </patternFill>
      </fill>
    </dxf>
    <dxf>
      <font>
        <color theme="1" tint="0.34998626667073579"/>
      </font>
      <fill>
        <patternFill patternType="solid">
          <bgColor rgb="FFC4C4C4"/>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rgb="FFC4C4C4"/>
        </patternFill>
      </fill>
    </dxf>
    <dxf>
      <font>
        <color rgb="FF006100"/>
      </font>
      <fill>
        <patternFill>
          <bgColor rgb="FFC6EFCE"/>
        </patternFill>
      </fill>
    </dxf>
    <dxf>
      <font>
        <color theme="1" tint="0.34998626667073579"/>
      </font>
      <fill>
        <patternFill patternType="solid">
          <bgColor rgb="FFC4C4C4"/>
        </patternFill>
      </fill>
    </dxf>
    <dxf>
      <font>
        <color theme="1" tint="0.34998626667073579"/>
      </font>
      <fill>
        <patternFill patternType="solid">
          <bgColor rgb="FFC4C4C4"/>
        </patternFill>
      </fill>
    </dxf>
    <dxf>
      <font>
        <color rgb="FF006100"/>
      </font>
      <fill>
        <patternFill>
          <bgColor rgb="FFC6EFCE"/>
        </patternFill>
      </fill>
    </dxf>
    <dxf>
      <font>
        <color theme="1" tint="0.34998626667073579"/>
      </font>
      <fill>
        <patternFill patternType="solid">
          <bgColor rgb="FFC4C4C4"/>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rgb="FFC4C4C4"/>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rgb="FFC4C4C4"/>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theme="2" tint="-9.9978637043366805E-2"/>
        </patternFill>
      </fill>
    </dxf>
    <dxf>
      <font>
        <color rgb="FF006100"/>
      </font>
      <fill>
        <patternFill>
          <bgColor rgb="FFC6EFCE"/>
        </patternFill>
      </fill>
    </dxf>
    <dxf>
      <font>
        <color theme="1" tint="0.34998626667073579"/>
      </font>
      <fill>
        <patternFill patternType="solid">
          <bgColor theme="2" tint="-9.9978637043366805E-2"/>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theme="2" tint="-9.9978637043366805E-2"/>
        </patternFill>
      </fill>
    </dxf>
    <dxf>
      <font>
        <color rgb="FF006100"/>
      </font>
      <fill>
        <patternFill>
          <bgColor rgb="FFC6EFCE"/>
        </patternFill>
      </fill>
    </dxf>
    <dxf>
      <font>
        <color theme="1" tint="0.34998626667073579"/>
      </font>
      <fill>
        <patternFill patternType="solid">
          <bgColor theme="2" tint="-9.9978637043366805E-2"/>
        </patternFill>
      </fill>
    </dxf>
    <dxf>
      <font>
        <color rgb="FF006100"/>
      </font>
      <fill>
        <patternFill>
          <bgColor rgb="FFC6EFCE"/>
        </patternFill>
      </fill>
    </dxf>
    <dxf>
      <font>
        <color rgb="FF9C0006"/>
      </font>
      <fill>
        <patternFill>
          <bgColor rgb="FFFFC7CE"/>
        </patternFill>
      </fill>
    </dxf>
    <dxf>
      <font>
        <color theme="1" tint="0.34998626667073579"/>
      </font>
      <fill>
        <patternFill patternType="solid">
          <bgColor rgb="FFC4C4C4"/>
        </patternFill>
      </fill>
    </dxf>
    <dxf>
      <font>
        <color rgb="FF9C0006"/>
      </font>
      <fill>
        <patternFill>
          <bgColor rgb="FFFFC7CE"/>
        </patternFill>
      </fill>
    </dxf>
    <dxf>
      <font>
        <color theme="1" tint="0.34998626667073579"/>
      </font>
      <fill>
        <patternFill patternType="solid">
          <bgColor rgb="FFC4C4C4"/>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rgb="FFC4C4C4"/>
        </patternFill>
      </fill>
    </dxf>
    <dxf>
      <font>
        <color rgb="FF006100"/>
      </font>
      <fill>
        <patternFill>
          <bgColor rgb="FFC6EFCE"/>
        </patternFill>
      </fill>
    </dxf>
    <dxf>
      <font>
        <color theme="1" tint="0.34998626667073579"/>
      </font>
      <fill>
        <patternFill patternType="solid">
          <bgColor rgb="FFC4C4C4"/>
        </patternFill>
      </fill>
    </dxf>
    <dxf>
      <font>
        <color rgb="FF9C0006"/>
      </font>
      <fill>
        <patternFill>
          <bgColor rgb="FFFFC7CE"/>
        </patternFill>
      </fill>
    </dxf>
    <dxf>
      <font>
        <color rgb="FF9C0006"/>
      </font>
      <fill>
        <patternFill>
          <bgColor rgb="FFFFC7CE"/>
        </patternFill>
      </fill>
    </dxf>
    <dxf>
      <font>
        <color theme="1" tint="0.34998626667073579"/>
      </font>
      <fill>
        <patternFill patternType="solid">
          <bgColor rgb="FFC4C4C4"/>
        </patternFill>
      </fill>
    </dxf>
    <dxf>
      <font>
        <color rgb="FF006100"/>
      </font>
      <fill>
        <patternFill>
          <bgColor rgb="FFC6EFCE"/>
        </patternFill>
      </fill>
    </dxf>
    <dxf>
      <font>
        <color theme="1" tint="0.34998626667073579"/>
      </font>
      <fill>
        <patternFill patternType="solid">
          <bgColor rgb="FFC4C4C4"/>
        </patternFill>
      </fill>
    </dxf>
    <dxf>
      <font>
        <color theme="1" tint="0.34998626667073579"/>
      </font>
      <fill>
        <patternFill patternType="solid">
          <bgColor rgb="FFC4C4C4"/>
        </patternFill>
      </fill>
    </dxf>
    <dxf>
      <font>
        <color rgb="FF006100"/>
      </font>
      <fill>
        <patternFill>
          <bgColor rgb="FFC6EFCE"/>
        </patternFill>
      </fill>
    </dxf>
    <dxf>
      <font>
        <color theme="1" tint="0.34998626667073579"/>
      </font>
      <fill>
        <patternFill patternType="solid">
          <bgColor rgb="FFC4C4C4"/>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C4C4C4"/>
        </patternFill>
      </fill>
    </dxf>
    <dxf>
      <fill>
        <patternFill>
          <bgColor rgb="FFC4C4C4"/>
        </patternFill>
      </fill>
    </dxf>
    <dxf>
      <font>
        <color rgb="FF006100"/>
      </font>
      <fill>
        <patternFill>
          <bgColor rgb="FFC6EFCE"/>
        </patternFill>
      </fill>
    </dxf>
    <dxf>
      <font>
        <color theme="1" tint="0.34998626667073579"/>
      </font>
      <fill>
        <patternFill patternType="solid">
          <bgColor theme="2" tint="-9.9978637043366805E-2"/>
        </patternFill>
      </fill>
    </dxf>
    <dxf>
      <font>
        <color rgb="FF006100"/>
      </font>
      <fill>
        <patternFill>
          <bgColor rgb="FFC6EFCE"/>
        </patternFill>
      </fill>
    </dxf>
    <dxf>
      <font>
        <color theme="1" tint="0.34998626667073579"/>
      </font>
      <fill>
        <patternFill patternType="solid">
          <bgColor theme="2" tint="-9.9978637043366805E-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1"/>
      </font>
      <fill>
        <patternFill patternType="solid">
          <bgColor rgb="FFC4C4C4"/>
        </patternFill>
      </fill>
    </dxf>
    <dxf>
      <font>
        <color theme="1"/>
      </font>
      <fill>
        <patternFill patternType="solid">
          <bgColor rgb="FFC4C4C4"/>
        </patternFill>
      </fill>
    </dxf>
    <dxf>
      <font>
        <color theme="0"/>
      </font>
      <fill>
        <patternFill>
          <bgColor rgb="FFEB3524"/>
        </patternFill>
      </fill>
    </dxf>
    <dxf>
      <fill>
        <patternFill>
          <bgColor rgb="FFFFCD03"/>
        </patternFill>
      </fill>
    </dxf>
    <dxf>
      <fill>
        <patternFill>
          <bgColor rgb="FFD6E040"/>
        </patternFill>
      </fill>
    </dxf>
    <dxf>
      <fill>
        <patternFill>
          <bgColor rgb="FF8BC751"/>
        </patternFill>
      </fill>
    </dxf>
    <dxf>
      <fill>
        <patternFill>
          <bgColor rgb="FF45AA07"/>
        </patternFill>
      </fill>
    </dxf>
    <dxf>
      <fill>
        <patternFill>
          <bgColor rgb="FFF58220"/>
        </patternFill>
      </fill>
    </dxf>
    <dxf>
      <fill>
        <patternFill>
          <bgColor rgb="FFEB3524"/>
        </patternFill>
      </fill>
    </dxf>
    <dxf>
      <fill>
        <patternFill>
          <bgColor rgb="FFF58220"/>
        </patternFill>
      </fill>
    </dxf>
    <dxf>
      <fill>
        <patternFill>
          <bgColor rgb="FFFFCD03"/>
        </patternFill>
      </fill>
    </dxf>
    <dxf>
      <fill>
        <patternFill>
          <bgColor rgb="FFD6E040"/>
        </patternFill>
      </fill>
    </dxf>
    <dxf>
      <fill>
        <patternFill>
          <bgColor rgb="FF8BC751"/>
        </patternFill>
      </fill>
    </dxf>
    <dxf>
      <fill>
        <patternFill>
          <bgColor rgb="FF45AA07"/>
        </patternFill>
      </fill>
    </dxf>
    <dxf>
      <fill>
        <patternFill>
          <bgColor rgb="FFEB3524"/>
        </patternFill>
      </fill>
    </dxf>
    <dxf>
      <fill>
        <patternFill>
          <bgColor rgb="FFF58220"/>
        </patternFill>
      </fill>
    </dxf>
    <dxf>
      <fill>
        <patternFill>
          <bgColor rgb="FFFFCD03"/>
        </patternFill>
      </fill>
    </dxf>
    <dxf>
      <fill>
        <patternFill>
          <bgColor rgb="FFD6E040"/>
        </patternFill>
      </fill>
    </dxf>
    <dxf>
      <fill>
        <patternFill>
          <bgColor rgb="FF8BC751"/>
        </patternFill>
      </fill>
    </dxf>
    <dxf>
      <fill>
        <patternFill>
          <bgColor rgb="FF45AA07"/>
        </patternFill>
      </fill>
    </dxf>
    <dxf>
      <fill>
        <patternFill patternType="solid">
          <fgColor theme="0"/>
          <bgColor rgb="FFE6E6E6"/>
        </patternFill>
      </fill>
    </dxf>
    <dxf>
      <font>
        <color theme="1"/>
      </font>
      <fill>
        <patternFill patternType="solid">
          <bgColor rgb="FFC4C4C4"/>
        </patternFill>
      </fill>
    </dxf>
    <dxf>
      <fill>
        <patternFill patternType="solid">
          <fgColor rgb="FFC4C4C4"/>
          <bgColor rgb="FFC4C4C4"/>
        </patternFill>
      </fill>
    </dxf>
    <dxf>
      <fill>
        <patternFill patternType="solid">
          <fgColor theme="0"/>
          <bgColor rgb="FFE6E6E6"/>
        </patternFill>
      </fill>
    </dxf>
    <dxf>
      <font>
        <color theme="1"/>
      </font>
      <fill>
        <patternFill patternType="solid">
          <bgColor rgb="FFC4C4C4"/>
        </patternFill>
      </fill>
    </dxf>
    <dxf>
      <fill>
        <patternFill patternType="solid">
          <fgColor rgb="FFC4C4C4"/>
          <bgColor rgb="FFC4C4C4"/>
        </patternFill>
      </fill>
    </dxf>
    <dxf>
      <fill>
        <patternFill patternType="solid">
          <fgColor theme="0"/>
          <bgColor rgb="FFE6E6E6"/>
        </patternFill>
      </fill>
    </dxf>
    <dxf>
      <font>
        <color theme="1"/>
      </font>
      <fill>
        <patternFill patternType="solid">
          <bgColor rgb="FFC4C4C4"/>
        </patternFill>
      </fill>
    </dxf>
    <dxf>
      <fill>
        <patternFill patternType="solid">
          <fgColor rgb="FFC4C4C4"/>
          <bgColor rgb="FFC4C4C4"/>
        </patternFill>
      </fill>
    </dxf>
    <dxf>
      <font>
        <color theme="0"/>
      </font>
      <fill>
        <patternFill>
          <bgColor rgb="FFEB3524"/>
        </patternFill>
      </fill>
    </dxf>
    <dxf>
      <fill>
        <patternFill>
          <bgColor rgb="FFF58220"/>
        </patternFill>
      </fill>
    </dxf>
    <dxf>
      <fill>
        <patternFill>
          <bgColor rgb="FFD6E040"/>
        </patternFill>
      </fill>
    </dxf>
    <dxf>
      <fill>
        <patternFill>
          <bgColor rgb="FF8BC751"/>
        </patternFill>
      </fill>
    </dxf>
    <dxf>
      <fill>
        <patternFill>
          <bgColor rgb="FF45AA07"/>
        </patternFill>
      </fill>
    </dxf>
    <dxf>
      <fill>
        <patternFill>
          <bgColor rgb="FFFFCD03"/>
        </patternFill>
      </fill>
    </dxf>
    <dxf>
      <fill>
        <patternFill>
          <bgColor rgb="FFC4C4C4"/>
        </patternFill>
      </fill>
    </dxf>
    <dxf>
      <fill>
        <patternFill>
          <bgColor rgb="FFC4C4C4"/>
        </patternFill>
      </fill>
    </dxf>
    <dxf>
      <fill>
        <patternFill>
          <bgColor rgb="FFC4C4C4"/>
        </patternFill>
      </fill>
    </dxf>
    <dxf>
      <fill>
        <patternFill>
          <bgColor rgb="FFC4C4C4"/>
        </patternFill>
      </fill>
    </dxf>
    <dxf>
      <fill>
        <patternFill>
          <bgColor rgb="FFE6E6E6"/>
        </patternFill>
      </fill>
    </dxf>
    <dxf>
      <font>
        <color theme="0"/>
      </font>
      <fill>
        <patternFill>
          <bgColor rgb="FFEB3524"/>
        </patternFill>
      </fill>
    </dxf>
    <dxf>
      <fill>
        <patternFill>
          <bgColor rgb="FF45AA07"/>
        </patternFill>
      </fill>
    </dxf>
    <dxf>
      <fill>
        <patternFill>
          <bgColor rgb="FFF58220"/>
        </patternFill>
      </fill>
    </dxf>
    <dxf>
      <fill>
        <patternFill>
          <bgColor rgb="FFFFCD03"/>
        </patternFill>
      </fill>
    </dxf>
    <dxf>
      <fill>
        <patternFill>
          <bgColor rgb="FFD6E040"/>
        </patternFill>
      </fill>
    </dxf>
    <dxf>
      <fill>
        <patternFill>
          <bgColor rgb="FF6BC751"/>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1" tint="0.499984740745262"/>
        </patternFill>
      </fill>
    </dxf>
    <dxf>
      <font>
        <color theme="1"/>
      </font>
      <fill>
        <patternFill patternType="solid">
          <bgColor theme="1" tint="0.49998474074526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theme="1"/>
      </font>
      <fill>
        <patternFill patternType="solid">
          <bgColor theme="6"/>
        </patternFill>
      </fill>
    </dxf>
    <dxf>
      <font>
        <color rgb="FF006100"/>
      </font>
      <fill>
        <patternFill>
          <bgColor rgb="FFC6EFCE"/>
        </patternFill>
      </fill>
    </dxf>
    <dxf>
      <font>
        <color rgb="FF9C0006"/>
      </font>
      <fill>
        <patternFill>
          <bgColor rgb="FFFFC7CE"/>
        </patternFill>
      </fill>
    </dxf>
    <dxf>
      <font>
        <color theme="1"/>
      </font>
      <fill>
        <patternFill patternType="solid">
          <bgColor theme="6"/>
        </patternFill>
      </fill>
    </dxf>
    <dxf>
      <font>
        <color rgb="FF9C5700"/>
      </font>
      <fill>
        <patternFill>
          <bgColor rgb="FFFFEB9C"/>
        </patternFill>
      </fill>
    </dxf>
    <dxf>
      <font>
        <color theme="0"/>
      </font>
      <fill>
        <patternFill>
          <bgColor rgb="FFED1D24"/>
        </patternFill>
      </fill>
    </dxf>
    <dxf>
      <fill>
        <patternFill>
          <bgColor rgb="FFF58220"/>
        </patternFill>
      </fill>
    </dxf>
    <dxf>
      <fill>
        <patternFill>
          <bgColor rgb="FFFFCD03"/>
        </patternFill>
      </fill>
    </dxf>
    <dxf>
      <fill>
        <patternFill>
          <bgColor rgb="FFD6E040"/>
        </patternFill>
      </fill>
    </dxf>
    <dxf>
      <fill>
        <patternFill>
          <bgColor rgb="FF8BC751"/>
        </patternFill>
      </fill>
    </dxf>
    <dxf>
      <fill>
        <patternFill>
          <bgColor rgb="FF45AA07"/>
        </patternFill>
      </fill>
    </dxf>
    <dxf>
      <fill>
        <patternFill patternType="lightUp"/>
      </fill>
    </dxf>
    <dxf>
      <fill>
        <patternFill>
          <bgColor rgb="FFC4C4C4"/>
        </patternFill>
      </fill>
    </dxf>
    <dxf>
      <fill>
        <patternFill>
          <bgColor rgb="FFC4C4C4"/>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2D050"/>
      </font>
    </dxf>
    <dxf>
      <font>
        <color rgb="FFFF0000"/>
      </font>
    </dxf>
  </dxfs>
  <tableStyles count="0" defaultTableStyle="TableStyleMedium2" defaultPivotStyle="PivotStyleLight16"/>
  <colors>
    <mruColors>
      <color rgb="FFF2F2F2"/>
      <color rgb="FFC4C4C4"/>
      <color rgb="FFFBE2D5"/>
      <color rgb="FF45AA07"/>
      <color rgb="FFE6E6E6"/>
      <color rgb="FFEB3524"/>
      <color rgb="FFF58220"/>
      <color rgb="FFFFCD03"/>
      <color rgb="FFD6E040"/>
      <color rgb="FF6BC7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3.png"/><Relationship Id="rId7" Type="http://schemas.openxmlformats.org/officeDocument/2006/relationships/image" Target="../media/image8.emf"/><Relationship Id="rId12" Type="http://schemas.openxmlformats.org/officeDocument/2006/relationships/hyperlink" Target="#'Company comparisons'!A1"/><Relationship Id="rId2" Type="http://schemas.openxmlformats.org/officeDocument/2006/relationships/image" Target="../media/image2.png"/><Relationship Id="rId1" Type="http://schemas.openxmlformats.org/officeDocument/2006/relationships/image" Target="../media/image7.png"/><Relationship Id="rId6" Type="http://schemas.openxmlformats.org/officeDocument/2006/relationships/image" Target="../media/image6.png"/><Relationship Id="rId11" Type="http://schemas.openxmlformats.org/officeDocument/2006/relationships/hyperlink" Target="#'Company Scorecard - select'!A1"/><Relationship Id="rId5" Type="http://schemas.openxmlformats.org/officeDocument/2006/relationships/image" Target="../media/image5.png"/><Relationship Id="rId10" Type="http://schemas.openxmlformats.org/officeDocument/2006/relationships/image" Target="../media/image11.png"/><Relationship Id="rId4" Type="http://schemas.openxmlformats.org/officeDocument/2006/relationships/image" Target="../media/image4.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hyperlink" Target="#'How the NZS works'!A1"/><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hyperlink" Target="#'How the NZS works'!A1"/><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hyperlink" Target="#'How the NZS works'!A1"/><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hyperlink" Target="#'How the NZS works'!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581025</xdr:colOff>
      <xdr:row>1</xdr:row>
      <xdr:rowOff>114300</xdr:rowOff>
    </xdr:from>
    <xdr:ext cx="1955800" cy="1038225"/>
    <xdr:pic>
      <xdr:nvPicPr>
        <xdr:cNvPr id="2" name="Picture 1" descr="https://theinvestoragenda.org/wp-content/uploads/2018/02/climateaction100_withnewtagline-300x155.png">
          <a:extLst>
            <a:ext uri="{FF2B5EF4-FFF2-40B4-BE49-F238E27FC236}">
              <a16:creationId xmlns:a16="http://schemas.microsoft.com/office/drawing/2014/main" id="{5D42CC64-B3AD-4565-8648-E6987B12C1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295275"/>
          <a:ext cx="19558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571500</xdr:colOff>
      <xdr:row>2</xdr:row>
      <xdr:rowOff>440532</xdr:rowOff>
    </xdr:from>
    <xdr:to>
      <xdr:col>1</xdr:col>
      <xdr:colOff>4778804</xdr:colOff>
      <xdr:row>3</xdr:row>
      <xdr:rowOff>474890</xdr:rowOff>
    </xdr:to>
    <xdr:grpSp>
      <xdr:nvGrpSpPr>
        <xdr:cNvPr id="3" name="Group 2">
          <a:extLst>
            <a:ext uri="{FF2B5EF4-FFF2-40B4-BE49-F238E27FC236}">
              <a16:creationId xmlns:a16="http://schemas.microsoft.com/office/drawing/2014/main" id="{27AEC0EE-ED3F-4413-8D69-C3C6FEDDA813}"/>
            </a:ext>
          </a:extLst>
        </xdr:cNvPr>
        <xdr:cNvGrpSpPr/>
      </xdr:nvGrpSpPr>
      <xdr:grpSpPr>
        <a:xfrm>
          <a:off x="571500" y="1612107"/>
          <a:ext cx="5683679" cy="786833"/>
          <a:chOff x="530014" y="5879930"/>
          <a:chExt cx="5612242" cy="784451"/>
        </a:xfrm>
      </xdr:grpSpPr>
      <xdr:pic>
        <xdr:nvPicPr>
          <xdr:cNvPr id="4" name="Picture 3" descr="A logo on a black background&#10;&#10;Description automatically generated">
            <a:extLst>
              <a:ext uri="{FF2B5EF4-FFF2-40B4-BE49-F238E27FC236}">
                <a16:creationId xmlns:a16="http://schemas.microsoft.com/office/drawing/2014/main" id="{A08ADD43-D17E-A194-F629-81D378C087A0}"/>
              </a:ext>
            </a:extLst>
          </xdr:cNvPr>
          <xdr:cNvPicPr>
            <a:picLocks noChangeAspect="1"/>
          </xdr:cNvPicPr>
        </xdr:nvPicPr>
        <xdr:blipFill>
          <a:blip xmlns:r="http://schemas.openxmlformats.org/officeDocument/2006/relationships" r:embed="rId2"/>
          <a:stretch>
            <a:fillRect/>
          </a:stretch>
        </xdr:blipFill>
        <xdr:spPr>
          <a:xfrm>
            <a:off x="530014" y="5943480"/>
            <a:ext cx="1287315" cy="643658"/>
          </a:xfrm>
          <a:prstGeom prst="rect">
            <a:avLst/>
          </a:prstGeom>
        </xdr:spPr>
      </xdr:pic>
      <xdr:pic>
        <xdr:nvPicPr>
          <xdr:cNvPr id="5" name="Picture 4" descr="A screenshot of a computer&#10;&#10;Description automatically generated with low confidence">
            <a:extLst>
              <a:ext uri="{FF2B5EF4-FFF2-40B4-BE49-F238E27FC236}">
                <a16:creationId xmlns:a16="http://schemas.microsoft.com/office/drawing/2014/main" id="{AA519828-0CFA-F03C-7794-47CD53693E94}"/>
              </a:ext>
            </a:extLst>
          </xdr:cNvPr>
          <xdr:cNvPicPr>
            <a:picLocks noChangeAspect="1"/>
          </xdr:cNvPicPr>
        </xdr:nvPicPr>
        <xdr:blipFill rotWithShape="1">
          <a:blip xmlns:r="http://schemas.openxmlformats.org/officeDocument/2006/relationships" r:embed="rId3"/>
          <a:srcRect l="4545" t="22288" r="4545" b="22288"/>
          <a:stretch/>
        </xdr:blipFill>
        <xdr:spPr>
          <a:xfrm>
            <a:off x="4951163" y="5909247"/>
            <a:ext cx="1191093" cy="725816"/>
          </a:xfrm>
          <a:prstGeom prst="rect">
            <a:avLst/>
          </a:prstGeom>
        </xdr:spPr>
      </xdr:pic>
      <xdr:pic>
        <xdr:nvPicPr>
          <xdr:cNvPr id="6" name="Picture 5" descr="Logo&#10;&#10;Description automatically generated">
            <a:extLst>
              <a:ext uri="{FF2B5EF4-FFF2-40B4-BE49-F238E27FC236}">
                <a16:creationId xmlns:a16="http://schemas.microsoft.com/office/drawing/2014/main" id="{DAF1D58C-539B-4C59-596B-B080DD68FCF4}"/>
              </a:ext>
            </a:extLst>
          </xdr:cNvPr>
          <xdr:cNvPicPr>
            <a:picLocks noChangeAspect="1"/>
          </xdr:cNvPicPr>
        </xdr:nvPicPr>
        <xdr:blipFill rotWithShape="1">
          <a:blip xmlns:r="http://schemas.openxmlformats.org/officeDocument/2006/relationships" r:embed="rId4"/>
          <a:srcRect l="-8636" t="-24430" r="-8636" b="-24430"/>
          <a:stretch/>
        </xdr:blipFill>
        <xdr:spPr>
          <a:xfrm>
            <a:off x="1718511" y="5879930"/>
            <a:ext cx="1287315" cy="784451"/>
          </a:xfrm>
          <a:prstGeom prst="rect">
            <a:avLst/>
          </a:prstGeom>
        </xdr:spPr>
      </xdr:pic>
      <xdr:pic>
        <xdr:nvPicPr>
          <xdr:cNvPr id="7" name="Picture 6" descr="Logo&#10;&#10;Description automatically generated with medium confidence">
            <a:extLst>
              <a:ext uri="{FF2B5EF4-FFF2-40B4-BE49-F238E27FC236}">
                <a16:creationId xmlns:a16="http://schemas.microsoft.com/office/drawing/2014/main" id="{7ABDD62A-F44F-5F95-3AAF-37620A2A1249}"/>
              </a:ext>
            </a:extLst>
          </xdr:cNvPr>
          <xdr:cNvPicPr>
            <a:picLocks noChangeAspect="1"/>
          </xdr:cNvPicPr>
        </xdr:nvPicPr>
        <xdr:blipFill>
          <a:blip xmlns:r="http://schemas.openxmlformats.org/officeDocument/2006/relationships" r:embed="rId5"/>
          <a:stretch>
            <a:fillRect/>
          </a:stretch>
        </xdr:blipFill>
        <xdr:spPr>
          <a:xfrm>
            <a:off x="2910718" y="6011516"/>
            <a:ext cx="1042556" cy="521278"/>
          </a:xfrm>
          <a:prstGeom prst="rect">
            <a:avLst/>
          </a:prstGeom>
        </xdr:spPr>
      </xdr:pic>
      <xdr:pic>
        <xdr:nvPicPr>
          <xdr:cNvPr id="8" name="Picture 7">
            <a:extLst>
              <a:ext uri="{FF2B5EF4-FFF2-40B4-BE49-F238E27FC236}">
                <a16:creationId xmlns:a16="http://schemas.microsoft.com/office/drawing/2014/main" id="{DB6ED367-B0F9-4418-24E4-12BF665ADCB6}"/>
              </a:ext>
            </a:extLst>
          </xdr:cNvPr>
          <xdr:cNvPicPr>
            <a:picLocks noChangeAspect="1"/>
          </xdr:cNvPicPr>
        </xdr:nvPicPr>
        <xdr:blipFill rotWithShape="1">
          <a:blip xmlns:r="http://schemas.openxmlformats.org/officeDocument/2006/relationships" r:embed="rId6">
            <a:clrChange>
              <a:clrFrom>
                <a:srgbClr val="FDFDFD"/>
              </a:clrFrom>
              <a:clrTo>
                <a:srgbClr val="FDFDFD">
                  <a:alpha val="0"/>
                </a:srgbClr>
              </a:clrTo>
            </a:clrChange>
          </a:blip>
          <a:srcRect t="29028" b="29583"/>
          <a:stretch/>
        </xdr:blipFill>
        <xdr:spPr>
          <a:xfrm>
            <a:off x="4042341" y="6087779"/>
            <a:ext cx="883914" cy="36584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533400</xdr:colOff>
      <xdr:row>0</xdr:row>
      <xdr:rowOff>142875</xdr:rowOff>
    </xdr:from>
    <xdr:to>
      <xdr:col>1</xdr:col>
      <xdr:colOff>924006</xdr:colOff>
      <xdr:row>2</xdr:row>
      <xdr:rowOff>430852</xdr:rowOff>
    </xdr:to>
    <xdr:pic>
      <xdr:nvPicPr>
        <xdr:cNvPr id="5" name="Picture 2">
          <a:extLst>
            <a:ext uri="{FF2B5EF4-FFF2-40B4-BE49-F238E27FC236}">
              <a16:creationId xmlns:a16="http://schemas.microsoft.com/office/drawing/2014/main" id="{3A90E0C8-0926-4B8F-B4B9-BBA216B08A04}"/>
            </a:ext>
          </a:extLst>
        </xdr:cNvPr>
        <xdr:cNvPicPr>
          <a:picLocks noChangeAspect="1"/>
        </xdr:cNvPicPr>
      </xdr:nvPicPr>
      <xdr:blipFill>
        <a:blip xmlns:r="http://schemas.openxmlformats.org/officeDocument/2006/relationships" r:embed="rId1"/>
        <a:stretch>
          <a:fillRect/>
        </a:stretch>
      </xdr:blipFill>
      <xdr:spPr>
        <a:xfrm>
          <a:off x="533400" y="142875"/>
          <a:ext cx="1790781" cy="1190625"/>
        </a:xfrm>
        <a:prstGeom prst="rect">
          <a:avLst/>
        </a:prstGeom>
      </xdr:spPr>
    </xdr:pic>
    <xdr:clientData/>
  </xdr:twoCellAnchor>
  <xdr:twoCellAnchor>
    <xdr:from>
      <xdr:col>0</xdr:col>
      <xdr:colOff>657225</xdr:colOff>
      <xdr:row>2</xdr:row>
      <xdr:rowOff>419101</xdr:rowOff>
    </xdr:from>
    <xdr:to>
      <xdr:col>1</xdr:col>
      <xdr:colOff>4352925</xdr:colOff>
      <xdr:row>3</xdr:row>
      <xdr:rowOff>542926</xdr:rowOff>
    </xdr:to>
    <xdr:grpSp>
      <xdr:nvGrpSpPr>
        <xdr:cNvPr id="36" name="Group 3">
          <a:extLst>
            <a:ext uri="{FF2B5EF4-FFF2-40B4-BE49-F238E27FC236}">
              <a16:creationId xmlns:a16="http://schemas.microsoft.com/office/drawing/2014/main" id="{B31C5E7E-C634-4154-972B-B9902D006EA2}"/>
            </a:ext>
          </a:extLst>
        </xdr:cNvPr>
        <xdr:cNvGrpSpPr/>
      </xdr:nvGrpSpPr>
      <xdr:grpSpPr>
        <a:xfrm>
          <a:off x="654050" y="1326777"/>
          <a:ext cx="5096435" cy="736974"/>
          <a:chOff x="530014" y="5879930"/>
          <a:chExt cx="5612242" cy="784451"/>
        </a:xfrm>
      </xdr:grpSpPr>
      <xdr:pic>
        <xdr:nvPicPr>
          <xdr:cNvPr id="37" name="Picture 4" descr="A logo on a black background&#10;&#10;Description automatically generated">
            <a:extLst>
              <a:ext uri="{FF2B5EF4-FFF2-40B4-BE49-F238E27FC236}">
                <a16:creationId xmlns:a16="http://schemas.microsoft.com/office/drawing/2014/main" id="{973AE8EE-F46C-67E0-5E5D-0E1C3C16C6C3}"/>
              </a:ext>
            </a:extLst>
          </xdr:cNvPr>
          <xdr:cNvPicPr>
            <a:picLocks noChangeAspect="1"/>
          </xdr:cNvPicPr>
        </xdr:nvPicPr>
        <xdr:blipFill>
          <a:blip xmlns:r="http://schemas.openxmlformats.org/officeDocument/2006/relationships" r:embed="rId2"/>
          <a:stretch>
            <a:fillRect/>
          </a:stretch>
        </xdr:blipFill>
        <xdr:spPr>
          <a:xfrm>
            <a:off x="530014" y="5943480"/>
            <a:ext cx="1287315" cy="643658"/>
          </a:xfrm>
          <a:prstGeom prst="rect">
            <a:avLst/>
          </a:prstGeom>
        </xdr:spPr>
      </xdr:pic>
      <xdr:pic>
        <xdr:nvPicPr>
          <xdr:cNvPr id="38" name="Picture 5" descr="A screenshot of a computer&#10;&#10;Description automatically generated with low confidence">
            <a:extLst>
              <a:ext uri="{FF2B5EF4-FFF2-40B4-BE49-F238E27FC236}">
                <a16:creationId xmlns:a16="http://schemas.microsoft.com/office/drawing/2014/main" id="{5EC6C2DE-5C58-C3EE-07ED-A92BC7D03759}"/>
              </a:ext>
            </a:extLst>
          </xdr:cNvPr>
          <xdr:cNvPicPr>
            <a:picLocks noChangeAspect="1"/>
          </xdr:cNvPicPr>
        </xdr:nvPicPr>
        <xdr:blipFill rotWithShape="1">
          <a:blip xmlns:r="http://schemas.openxmlformats.org/officeDocument/2006/relationships" r:embed="rId3"/>
          <a:srcRect l="4545" t="22288" r="4545" b="22288"/>
          <a:stretch/>
        </xdr:blipFill>
        <xdr:spPr>
          <a:xfrm>
            <a:off x="4951163" y="5909247"/>
            <a:ext cx="1191093" cy="725816"/>
          </a:xfrm>
          <a:prstGeom prst="rect">
            <a:avLst/>
          </a:prstGeom>
        </xdr:spPr>
      </xdr:pic>
      <xdr:pic>
        <xdr:nvPicPr>
          <xdr:cNvPr id="39" name="Picture 6" descr="Logo&#10;&#10;Description automatically generated">
            <a:extLst>
              <a:ext uri="{FF2B5EF4-FFF2-40B4-BE49-F238E27FC236}">
                <a16:creationId xmlns:a16="http://schemas.microsoft.com/office/drawing/2014/main" id="{73B0B490-B253-1D94-7835-33E43D9E5278}"/>
              </a:ext>
            </a:extLst>
          </xdr:cNvPr>
          <xdr:cNvPicPr>
            <a:picLocks noChangeAspect="1"/>
          </xdr:cNvPicPr>
        </xdr:nvPicPr>
        <xdr:blipFill rotWithShape="1">
          <a:blip xmlns:r="http://schemas.openxmlformats.org/officeDocument/2006/relationships" r:embed="rId4"/>
          <a:srcRect l="-8636" t="-24430" r="-8636" b="-24430"/>
          <a:stretch/>
        </xdr:blipFill>
        <xdr:spPr>
          <a:xfrm>
            <a:off x="1718511" y="5879930"/>
            <a:ext cx="1287315" cy="784451"/>
          </a:xfrm>
          <a:prstGeom prst="rect">
            <a:avLst/>
          </a:prstGeom>
        </xdr:spPr>
      </xdr:pic>
      <xdr:pic>
        <xdr:nvPicPr>
          <xdr:cNvPr id="40" name="Picture 7" descr="Logo&#10;&#10;Description automatically generated with medium confidence">
            <a:extLst>
              <a:ext uri="{FF2B5EF4-FFF2-40B4-BE49-F238E27FC236}">
                <a16:creationId xmlns:a16="http://schemas.microsoft.com/office/drawing/2014/main" id="{2EE98E32-DEBA-30A9-13D2-DACB10D61EF9}"/>
              </a:ext>
            </a:extLst>
          </xdr:cNvPr>
          <xdr:cNvPicPr>
            <a:picLocks noChangeAspect="1"/>
          </xdr:cNvPicPr>
        </xdr:nvPicPr>
        <xdr:blipFill>
          <a:blip xmlns:r="http://schemas.openxmlformats.org/officeDocument/2006/relationships" r:embed="rId5"/>
          <a:stretch>
            <a:fillRect/>
          </a:stretch>
        </xdr:blipFill>
        <xdr:spPr>
          <a:xfrm>
            <a:off x="2910718" y="6011516"/>
            <a:ext cx="1042556" cy="521278"/>
          </a:xfrm>
          <a:prstGeom prst="rect">
            <a:avLst/>
          </a:prstGeom>
        </xdr:spPr>
      </xdr:pic>
      <xdr:pic>
        <xdr:nvPicPr>
          <xdr:cNvPr id="41" name="Picture 8">
            <a:extLst>
              <a:ext uri="{FF2B5EF4-FFF2-40B4-BE49-F238E27FC236}">
                <a16:creationId xmlns:a16="http://schemas.microsoft.com/office/drawing/2014/main" id="{E913019E-7681-A843-A00E-7FB6461AB5A1}"/>
              </a:ext>
            </a:extLst>
          </xdr:cNvPr>
          <xdr:cNvPicPr>
            <a:picLocks noChangeAspect="1"/>
          </xdr:cNvPicPr>
        </xdr:nvPicPr>
        <xdr:blipFill rotWithShape="1">
          <a:blip xmlns:r="http://schemas.openxmlformats.org/officeDocument/2006/relationships" r:embed="rId6">
            <a:clrChange>
              <a:clrFrom>
                <a:srgbClr val="FDFDFD"/>
              </a:clrFrom>
              <a:clrTo>
                <a:srgbClr val="FDFDFD">
                  <a:alpha val="0"/>
                </a:srgbClr>
              </a:clrTo>
            </a:clrChange>
          </a:blip>
          <a:srcRect t="29028" b="29583"/>
          <a:stretch/>
        </xdr:blipFill>
        <xdr:spPr>
          <a:xfrm>
            <a:off x="4042341" y="6087779"/>
            <a:ext cx="883914" cy="365842"/>
          </a:xfrm>
          <a:prstGeom prst="rect">
            <a:avLst/>
          </a:prstGeom>
        </xdr:spPr>
      </xdr:pic>
    </xdr:grpSp>
    <xdr:clientData/>
  </xdr:twoCellAnchor>
  <xdr:twoCellAnchor editAs="oneCell">
    <xdr:from>
      <xdr:col>1</xdr:col>
      <xdr:colOff>20863</xdr:colOff>
      <xdr:row>20</xdr:row>
      <xdr:rowOff>408216</xdr:rowOff>
    </xdr:from>
    <xdr:to>
      <xdr:col>1</xdr:col>
      <xdr:colOff>5707743</xdr:colOff>
      <xdr:row>33</xdr:row>
      <xdr:rowOff>161692</xdr:rowOff>
    </xdr:to>
    <xdr:pic>
      <xdr:nvPicPr>
        <xdr:cNvPr id="9" name="Picture 51">
          <a:extLst>
            <a:ext uri="{FF2B5EF4-FFF2-40B4-BE49-F238E27FC236}">
              <a16:creationId xmlns:a16="http://schemas.microsoft.com/office/drawing/2014/main" id="{FFD66749-4209-B6E1-2E7D-493FFA41418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22399" y="7851323"/>
          <a:ext cx="5680530" cy="2499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1386356</xdr:colOff>
      <xdr:row>36</xdr:row>
      <xdr:rowOff>104027</xdr:rowOff>
    </xdr:from>
    <xdr:to>
      <xdr:col>1</xdr:col>
      <xdr:colOff>5708329</xdr:colOff>
      <xdr:row>41</xdr:row>
      <xdr:rowOff>104323</xdr:rowOff>
    </xdr:to>
    <xdr:pic>
      <xdr:nvPicPr>
        <xdr:cNvPr id="56" name="Picture 1">
          <a:extLst>
            <a:ext uri="{FF2B5EF4-FFF2-40B4-BE49-F238E27FC236}">
              <a16:creationId xmlns:a16="http://schemas.microsoft.com/office/drawing/2014/main" id="{F02B163D-6F8F-524B-4773-4C43148244F7}"/>
            </a:ext>
          </a:extLst>
        </xdr:cNvPr>
        <xdr:cNvPicPr>
          <a:picLocks noChangeAspect="1"/>
        </xdr:cNvPicPr>
      </xdr:nvPicPr>
      <xdr:blipFill>
        <a:blip xmlns:r="http://schemas.openxmlformats.org/officeDocument/2006/relationships" r:embed="rId8"/>
        <a:stretch>
          <a:fillRect/>
        </a:stretch>
      </xdr:blipFill>
      <xdr:spPr>
        <a:xfrm>
          <a:off x="1386356" y="11052174"/>
          <a:ext cx="5719533" cy="1410742"/>
        </a:xfrm>
        <a:prstGeom prst="rect">
          <a:avLst/>
        </a:prstGeom>
      </xdr:spPr>
    </xdr:pic>
    <xdr:clientData/>
  </xdr:twoCellAnchor>
  <xdr:twoCellAnchor editAs="oneCell">
    <xdr:from>
      <xdr:col>1</xdr:col>
      <xdr:colOff>0</xdr:colOff>
      <xdr:row>45</xdr:row>
      <xdr:rowOff>0</xdr:rowOff>
    </xdr:from>
    <xdr:to>
      <xdr:col>1</xdr:col>
      <xdr:colOff>5750728</xdr:colOff>
      <xdr:row>53</xdr:row>
      <xdr:rowOff>28224</xdr:rowOff>
    </xdr:to>
    <xdr:pic>
      <xdr:nvPicPr>
        <xdr:cNvPr id="54" name="Picture 2">
          <a:extLst>
            <a:ext uri="{FF2B5EF4-FFF2-40B4-BE49-F238E27FC236}">
              <a16:creationId xmlns:a16="http://schemas.microsoft.com/office/drawing/2014/main" id="{5BAECCCD-0EAC-EE4A-3A09-CC0182D56B56}"/>
            </a:ext>
          </a:extLst>
        </xdr:cNvPr>
        <xdr:cNvPicPr>
          <a:picLocks noChangeAspect="1"/>
        </xdr:cNvPicPr>
      </xdr:nvPicPr>
      <xdr:blipFill>
        <a:blip xmlns:r="http://schemas.openxmlformats.org/officeDocument/2006/relationships" r:embed="rId9"/>
        <a:stretch>
          <a:fillRect/>
        </a:stretch>
      </xdr:blipFill>
      <xdr:spPr>
        <a:xfrm>
          <a:off x="1333500" y="13596938"/>
          <a:ext cx="5753903" cy="1495634"/>
        </a:xfrm>
        <a:prstGeom prst="rect">
          <a:avLst/>
        </a:prstGeom>
      </xdr:spPr>
    </xdr:pic>
    <xdr:clientData/>
  </xdr:twoCellAnchor>
  <xdr:twoCellAnchor editAs="oneCell">
    <xdr:from>
      <xdr:col>0</xdr:col>
      <xdr:colOff>1354232</xdr:colOff>
      <xdr:row>56</xdr:row>
      <xdr:rowOff>97677</xdr:rowOff>
    </xdr:from>
    <xdr:to>
      <xdr:col>2</xdr:col>
      <xdr:colOff>3364093</xdr:colOff>
      <xdr:row>67</xdr:row>
      <xdr:rowOff>64061</xdr:rowOff>
    </xdr:to>
    <xdr:pic>
      <xdr:nvPicPr>
        <xdr:cNvPr id="2" name="Picture 1">
          <a:extLst>
            <a:ext uri="{FF2B5EF4-FFF2-40B4-BE49-F238E27FC236}">
              <a16:creationId xmlns:a16="http://schemas.microsoft.com/office/drawing/2014/main" id="{AB82D59D-B4F3-B2C0-D4A7-CE7037A11FDE}"/>
            </a:ext>
          </a:extLst>
        </xdr:cNvPr>
        <xdr:cNvPicPr>
          <a:picLocks noChangeAspect="1"/>
        </xdr:cNvPicPr>
      </xdr:nvPicPr>
      <xdr:blipFill>
        <a:blip xmlns:r="http://schemas.openxmlformats.org/officeDocument/2006/relationships" r:embed="rId10"/>
        <a:stretch>
          <a:fillRect/>
        </a:stretch>
      </xdr:blipFill>
      <xdr:spPr>
        <a:xfrm>
          <a:off x="1354232" y="15147177"/>
          <a:ext cx="10355068" cy="1935443"/>
        </a:xfrm>
        <a:prstGeom prst="rect">
          <a:avLst/>
        </a:prstGeom>
      </xdr:spPr>
    </xdr:pic>
    <xdr:clientData/>
  </xdr:twoCellAnchor>
  <xdr:twoCellAnchor>
    <xdr:from>
      <xdr:col>0</xdr:col>
      <xdr:colOff>1327149</xdr:colOff>
      <xdr:row>78</xdr:row>
      <xdr:rowOff>132686</xdr:rowOff>
    </xdr:from>
    <xdr:to>
      <xdr:col>1</xdr:col>
      <xdr:colOff>3626649</xdr:colOff>
      <xdr:row>80</xdr:row>
      <xdr:rowOff>11154</xdr:rowOff>
    </xdr:to>
    <xdr:grpSp>
      <xdr:nvGrpSpPr>
        <xdr:cNvPr id="7" name="Group 6">
          <a:extLst>
            <a:ext uri="{FF2B5EF4-FFF2-40B4-BE49-F238E27FC236}">
              <a16:creationId xmlns:a16="http://schemas.microsoft.com/office/drawing/2014/main" id="{BB30F99B-7706-2327-C832-1768D2A945D8}"/>
            </a:ext>
          </a:extLst>
        </xdr:cNvPr>
        <xdr:cNvGrpSpPr/>
      </xdr:nvGrpSpPr>
      <xdr:grpSpPr>
        <a:xfrm>
          <a:off x="1323974" y="19675745"/>
          <a:ext cx="3706585" cy="233881"/>
          <a:chOff x="1317186" y="18299105"/>
          <a:chExt cx="3692362" cy="255860"/>
        </a:xfrm>
      </xdr:grpSpPr>
      <xdr:sp macro="" textlink="">
        <xdr:nvSpPr>
          <xdr:cNvPr id="4" name="TextBox 3">
            <a:hlinkClick xmlns:r="http://schemas.openxmlformats.org/officeDocument/2006/relationships" r:id="rId11"/>
            <a:extLst>
              <a:ext uri="{FF2B5EF4-FFF2-40B4-BE49-F238E27FC236}">
                <a16:creationId xmlns:a16="http://schemas.microsoft.com/office/drawing/2014/main" id="{71685642-BE34-8CBA-F090-64AEF232D6E0}"/>
              </a:ext>
            </a:extLst>
          </xdr:cNvPr>
          <xdr:cNvSpPr txBox="1"/>
        </xdr:nvSpPr>
        <xdr:spPr>
          <a:xfrm>
            <a:off x="1317186" y="18315705"/>
            <a:ext cx="2121495" cy="237353"/>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u="sng">
                <a:solidFill>
                  <a:srgbClr val="0563C1"/>
                </a:solidFill>
                <a:latin typeface="Arial" panose="020B0604020202020204" pitchFamily="34" charset="0"/>
                <a:cs typeface="Arial" panose="020B0604020202020204" pitchFamily="34" charset="0"/>
              </a:rPr>
              <a:t>Company</a:t>
            </a:r>
            <a:r>
              <a:rPr lang="en-GB" sz="1100" u="sng" baseline="0">
                <a:solidFill>
                  <a:srgbClr val="0563C1"/>
                </a:solidFill>
                <a:latin typeface="Arial" panose="020B0604020202020204" pitchFamily="34" charset="0"/>
                <a:cs typeface="Arial" panose="020B0604020202020204" pitchFamily="34" charset="0"/>
              </a:rPr>
              <a:t> Scorecard - Select</a:t>
            </a:r>
            <a:r>
              <a:rPr lang="en-GB" sz="1100" u="none" baseline="0">
                <a:solidFill>
                  <a:srgbClr val="0563C1"/>
                </a:solidFill>
                <a:latin typeface="Arial" panose="020B0604020202020204" pitchFamily="34" charset="0"/>
                <a:cs typeface="Arial" panose="020B0604020202020204" pitchFamily="34" charset="0"/>
              </a:rPr>
              <a:t> </a:t>
            </a:r>
            <a:r>
              <a:rPr lang="en-GB" sz="1100" u="none" baseline="0">
                <a:solidFill>
                  <a:schemeClr val="tx1"/>
                </a:solidFill>
                <a:latin typeface="Arial" panose="020B0604020202020204" pitchFamily="34" charset="0"/>
                <a:cs typeface="Arial" panose="020B0604020202020204" pitchFamily="34" charset="0"/>
              </a:rPr>
              <a:t>&amp;</a:t>
            </a:r>
            <a:endParaRPr lang="en-GB" sz="1100" u="none">
              <a:solidFill>
                <a:schemeClr val="tx1"/>
              </a:solidFill>
              <a:latin typeface="Arial" panose="020B0604020202020204" pitchFamily="34" charset="0"/>
              <a:cs typeface="Arial" panose="020B0604020202020204" pitchFamily="34" charset="0"/>
            </a:endParaRPr>
          </a:p>
        </xdr:txBody>
      </xdr:sp>
      <xdr:sp macro="" textlink="">
        <xdr:nvSpPr>
          <xdr:cNvPr id="3" name="TextBox 2">
            <a:hlinkClick xmlns:r="http://schemas.openxmlformats.org/officeDocument/2006/relationships" r:id="rId12"/>
            <a:extLst>
              <a:ext uri="{FF2B5EF4-FFF2-40B4-BE49-F238E27FC236}">
                <a16:creationId xmlns:a16="http://schemas.microsoft.com/office/drawing/2014/main" id="{EF44C0B5-9527-8FB5-1BA7-BBE5F1434CE1}"/>
              </a:ext>
            </a:extLst>
          </xdr:cNvPr>
          <xdr:cNvSpPr txBox="1"/>
        </xdr:nvSpPr>
        <xdr:spPr>
          <a:xfrm>
            <a:off x="3265624" y="18299105"/>
            <a:ext cx="1743924" cy="255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u="sng">
                <a:solidFill>
                  <a:srgbClr val="0563C1"/>
                </a:solidFill>
                <a:latin typeface="Arial" panose="020B0604020202020204" pitchFamily="34" charset="0"/>
                <a:cs typeface="Arial" panose="020B0604020202020204" pitchFamily="34" charset="0"/>
              </a:rPr>
              <a:t>Company Comparisons: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171450</xdr:rowOff>
    </xdr:from>
    <xdr:to>
      <xdr:col>1</xdr:col>
      <xdr:colOff>1122927</xdr:colOff>
      <xdr:row>2</xdr:row>
      <xdr:rowOff>389164</xdr:rowOff>
    </xdr:to>
    <xdr:pic>
      <xdr:nvPicPr>
        <xdr:cNvPr id="3" name="Picture 2">
          <a:extLst>
            <a:ext uri="{FF2B5EF4-FFF2-40B4-BE49-F238E27FC236}">
              <a16:creationId xmlns:a16="http://schemas.microsoft.com/office/drawing/2014/main" id="{13DCE480-99B0-4572-B6CC-535268B0AFD4}"/>
            </a:ext>
          </a:extLst>
        </xdr:cNvPr>
        <xdr:cNvPicPr>
          <a:picLocks noChangeAspect="1"/>
        </xdr:cNvPicPr>
      </xdr:nvPicPr>
      <xdr:blipFill>
        <a:blip xmlns:r="http://schemas.openxmlformats.org/officeDocument/2006/relationships" r:embed="rId1"/>
        <a:stretch>
          <a:fillRect/>
        </a:stretch>
      </xdr:blipFill>
      <xdr:spPr>
        <a:xfrm>
          <a:off x="219075" y="171450"/>
          <a:ext cx="897778" cy="568325"/>
        </a:xfrm>
        <a:prstGeom prst="rect">
          <a:avLst/>
        </a:prstGeom>
      </xdr:spPr>
    </xdr:pic>
    <xdr:clientData/>
  </xdr:twoCellAnchor>
  <xdr:twoCellAnchor>
    <xdr:from>
      <xdr:col>2</xdr:col>
      <xdr:colOff>121640</xdr:colOff>
      <xdr:row>1</xdr:row>
      <xdr:rowOff>60185</xdr:rowOff>
    </xdr:from>
    <xdr:to>
      <xdr:col>5</xdr:col>
      <xdr:colOff>1343025</xdr:colOff>
      <xdr:row>2</xdr:row>
      <xdr:rowOff>380999</xdr:rowOff>
    </xdr:to>
    <xdr:sp macro="" textlink="">
      <xdr:nvSpPr>
        <xdr:cNvPr id="4" name="TextBox 5">
          <a:hlinkClick xmlns:r="http://schemas.openxmlformats.org/officeDocument/2006/relationships" r:id="rId2"/>
          <a:extLst>
            <a:ext uri="{FF2B5EF4-FFF2-40B4-BE49-F238E27FC236}">
              <a16:creationId xmlns:a16="http://schemas.microsoft.com/office/drawing/2014/main" id="{64B8F9F4-C279-4A9D-AFE9-1698573CD94C}"/>
            </a:ext>
          </a:extLst>
        </xdr:cNvPr>
        <xdr:cNvSpPr txBox="1"/>
      </xdr:nvSpPr>
      <xdr:spPr>
        <a:xfrm>
          <a:off x="2902940" y="241160"/>
          <a:ext cx="6526810" cy="48273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Arial" panose="020B0604020202020204" pitchFamily="34" charset="0"/>
              <a:cs typeface="Arial" panose="020B0604020202020204" pitchFamily="34" charset="0"/>
            </a:rPr>
            <a:t>For more details on the methodology and how to use this worksheet please see the documentation in </a:t>
          </a:r>
          <a:r>
            <a:rPr lang="en-GB" sz="1100" b="1" u="sng">
              <a:solidFill>
                <a:srgbClr val="0070C0"/>
              </a:solidFill>
              <a:latin typeface="Arial" panose="020B0604020202020204" pitchFamily="34" charset="0"/>
              <a:cs typeface="Arial" panose="020B0604020202020204" pitchFamily="34" charset="0"/>
            </a:rPr>
            <a:t>How the NZS works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63500</xdr:colOff>
      <xdr:row>0</xdr:row>
      <xdr:rowOff>73585</xdr:rowOff>
    </xdr:from>
    <xdr:to>
      <xdr:col>2</xdr:col>
      <xdr:colOff>863600</xdr:colOff>
      <xdr:row>2</xdr:row>
      <xdr:rowOff>85164</xdr:rowOff>
    </xdr:to>
    <xdr:pic>
      <xdr:nvPicPr>
        <xdr:cNvPr id="2" name="Picture 2">
          <a:extLst>
            <a:ext uri="{FF2B5EF4-FFF2-40B4-BE49-F238E27FC236}">
              <a16:creationId xmlns:a16="http://schemas.microsoft.com/office/drawing/2014/main" id="{087FE575-0F02-41A4-B89E-92173D66B690}"/>
            </a:ext>
          </a:extLst>
        </xdr:cNvPr>
        <xdr:cNvPicPr>
          <a:picLocks noChangeAspect="1"/>
        </xdr:cNvPicPr>
      </xdr:nvPicPr>
      <xdr:blipFill>
        <a:blip xmlns:r="http://schemas.openxmlformats.org/officeDocument/2006/relationships" r:embed="rId1"/>
        <a:stretch>
          <a:fillRect/>
        </a:stretch>
      </xdr:blipFill>
      <xdr:spPr>
        <a:xfrm>
          <a:off x="455706" y="73585"/>
          <a:ext cx="904128" cy="597460"/>
        </a:xfrm>
        <a:prstGeom prst="rect">
          <a:avLst/>
        </a:prstGeom>
      </xdr:spPr>
    </xdr:pic>
    <xdr:clientData/>
  </xdr:twoCellAnchor>
  <xdr:twoCellAnchor>
    <xdr:from>
      <xdr:col>2</xdr:col>
      <xdr:colOff>2369771</xdr:colOff>
      <xdr:row>0</xdr:row>
      <xdr:rowOff>123266</xdr:rowOff>
    </xdr:from>
    <xdr:to>
      <xdr:col>12</xdr:col>
      <xdr:colOff>198531</xdr:colOff>
      <xdr:row>1</xdr:row>
      <xdr:rowOff>268942</xdr:rowOff>
    </xdr:to>
    <xdr:sp macro="" textlink="">
      <xdr:nvSpPr>
        <xdr:cNvPr id="3" name="TextBox 5">
          <a:hlinkClick xmlns:r="http://schemas.openxmlformats.org/officeDocument/2006/relationships" r:id="rId2"/>
          <a:extLst>
            <a:ext uri="{FF2B5EF4-FFF2-40B4-BE49-F238E27FC236}">
              <a16:creationId xmlns:a16="http://schemas.microsoft.com/office/drawing/2014/main" id="{76FD912B-F413-407C-8909-A100643C4C23}"/>
            </a:ext>
          </a:extLst>
        </xdr:cNvPr>
        <xdr:cNvSpPr txBox="1"/>
      </xdr:nvSpPr>
      <xdr:spPr>
        <a:xfrm>
          <a:off x="2862830" y="123266"/>
          <a:ext cx="8664848" cy="336176"/>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Arial" panose="020B0604020202020204" pitchFamily="34" charset="0"/>
              <a:cs typeface="Arial" panose="020B0604020202020204" pitchFamily="34" charset="0"/>
            </a:rPr>
            <a:t>For more details on the methodology and how to use this worksheet please see the documentation in </a:t>
          </a:r>
          <a:r>
            <a:rPr lang="en-GB" sz="1100" b="1" u="sng">
              <a:solidFill>
                <a:srgbClr val="0070C0"/>
              </a:solidFill>
              <a:latin typeface="Arial" panose="020B0604020202020204" pitchFamily="34" charset="0"/>
              <a:cs typeface="Arial" panose="020B0604020202020204" pitchFamily="34" charset="0"/>
            </a:rPr>
            <a:t>How the NZS works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23668</xdr:colOff>
      <xdr:row>0</xdr:row>
      <xdr:rowOff>138545</xdr:rowOff>
    </xdr:from>
    <xdr:to>
      <xdr:col>1</xdr:col>
      <xdr:colOff>1322243</xdr:colOff>
      <xdr:row>1</xdr:row>
      <xdr:rowOff>25739</xdr:rowOff>
    </xdr:to>
    <xdr:pic>
      <xdr:nvPicPr>
        <xdr:cNvPr id="2" name="Picture 1">
          <a:extLst>
            <a:ext uri="{FF2B5EF4-FFF2-40B4-BE49-F238E27FC236}">
              <a16:creationId xmlns:a16="http://schemas.microsoft.com/office/drawing/2014/main" id="{D85F0E2F-180B-44B0-A742-C61882D036E4}"/>
            </a:ext>
          </a:extLst>
        </xdr:cNvPr>
        <xdr:cNvPicPr>
          <a:picLocks noChangeAspect="1"/>
        </xdr:cNvPicPr>
      </xdr:nvPicPr>
      <xdr:blipFill>
        <a:blip xmlns:r="http://schemas.openxmlformats.org/officeDocument/2006/relationships" r:embed="rId1"/>
        <a:stretch>
          <a:fillRect/>
        </a:stretch>
      </xdr:blipFill>
      <xdr:spPr>
        <a:xfrm>
          <a:off x="512618" y="141720"/>
          <a:ext cx="1295400" cy="850900"/>
        </a:xfrm>
        <a:prstGeom prst="rect">
          <a:avLst/>
        </a:prstGeom>
      </xdr:spPr>
    </xdr:pic>
    <xdr:clientData/>
  </xdr:twoCellAnchor>
  <xdr:twoCellAnchor>
    <xdr:from>
      <xdr:col>4</xdr:col>
      <xdr:colOff>1241961</xdr:colOff>
      <xdr:row>0</xdr:row>
      <xdr:rowOff>301296</xdr:rowOff>
    </xdr:from>
    <xdr:to>
      <xdr:col>11</xdr:col>
      <xdr:colOff>366155</xdr:colOff>
      <xdr:row>0</xdr:row>
      <xdr:rowOff>950701</xdr:rowOff>
    </xdr:to>
    <xdr:sp macro="" textlink="">
      <xdr:nvSpPr>
        <xdr:cNvPr id="4" name="TextBox 5">
          <a:hlinkClick xmlns:r="http://schemas.openxmlformats.org/officeDocument/2006/relationships" r:id="rId2"/>
          <a:extLst>
            <a:ext uri="{FF2B5EF4-FFF2-40B4-BE49-F238E27FC236}">
              <a16:creationId xmlns:a16="http://schemas.microsoft.com/office/drawing/2014/main" id="{48EB762A-4D90-4C6C-91EF-5AB3D61B5275}"/>
            </a:ext>
          </a:extLst>
        </xdr:cNvPr>
        <xdr:cNvSpPr txBox="1"/>
      </xdr:nvSpPr>
      <xdr:spPr>
        <a:xfrm>
          <a:off x="11311247" y="301296"/>
          <a:ext cx="10363694" cy="64940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latin typeface="Arial" panose="020B0604020202020204" pitchFamily="34" charset="0"/>
              <a:cs typeface="Arial" panose="020B0604020202020204" pitchFamily="34" charset="0"/>
            </a:rPr>
            <a:t>For more details on the methodology and how to use this worksheet please see the documentation in </a:t>
          </a:r>
          <a:r>
            <a:rPr lang="en-GB" sz="1400" b="1" u="sng">
              <a:solidFill>
                <a:srgbClr val="0070C0"/>
              </a:solidFill>
              <a:latin typeface="Arial" panose="020B0604020202020204" pitchFamily="34" charset="0"/>
              <a:cs typeface="Arial" panose="020B0604020202020204" pitchFamily="34" charset="0"/>
            </a:rPr>
            <a:t>How the NZS works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30389</xdr:colOff>
      <xdr:row>0</xdr:row>
      <xdr:rowOff>81643</xdr:rowOff>
    </xdr:from>
    <xdr:to>
      <xdr:col>2</xdr:col>
      <xdr:colOff>580118</xdr:colOff>
      <xdr:row>0</xdr:row>
      <xdr:rowOff>542199</xdr:rowOff>
    </xdr:to>
    <xdr:pic>
      <xdr:nvPicPr>
        <xdr:cNvPr id="5" name="Picture 1">
          <a:extLst>
            <a:ext uri="{FF2B5EF4-FFF2-40B4-BE49-F238E27FC236}">
              <a16:creationId xmlns:a16="http://schemas.microsoft.com/office/drawing/2014/main" id="{BF59BEFC-979D-4A00-AF1E-41B306B5B48C}"/>
            </a:ext>
          </a:extLst>
        </xdr:cNvPr>
        <xdr:cNvPicPr>
          <a:picLocks noChangeAspect="1"/>
        </xdr:cNvPicPr>
      </xdr:nvPicPr>
      <xdr:blipFill>
        <a:blip xmlns:r="http://schemas.openxmlformats.org/officeDocument/2006/relationships" r:embed="rId1"/>
        <a:stretch>
          <a:fillRect/>
        </a:stretch>
      </xdr:blipFill>
      <xdr:spPr>
        <a:xfrm>
          <a:off x="642710" y="81643"/>
          <a:ext cx="718004" cy="4786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209684</xdr:colOff>
      <xdr:row>0</xdr:row>
      <xdr:rowOff>122464</xdr:rowOff>
    </xdr:from>
    <xdr:to>
      <xdr:col>1</xdr:col>
      <xdr:colOff>25713</xdr:colOff>
      <xdr:row>0</xdr:row>
      <xdr:rowOff>611343</xdr:rowOff>
    </xdr:to>
    <xdr:pic>
      <xdr:nvPicPr>
        <xdr:cNvPr id="2" name="Picture 1">
          <a:extLst>
            <a:ext uri="{FF2B5EF4-FFF2-40B4-BE49-F238E27FC236}">
              <a16:creationId xmlns:a16="http://schemas.microsoft.com/office/drawing/2014/main" id="{C20DA235-52C7-4F6A-8CFE-4E1A31EF3A8B}"/>
            </a:ext>
          </a:extLst>
        </xdr:cNvPr>
        <xdr:cNvPicPr>
          <a:picLocks noChangeAspect="1"/>
        </xdr:cNvPicPr>
      </xdr:nvPicPr>
      <xdr:blipFill>
        <a:blip xmlns:r="http://schemas.openxmlformats.org/officeDocument/2006/relationships" r:embed="rId1"/>
        <a:stretch>
          <a:fillRect/>
        </a:stretch>
      </xdr:blipFill>
      <xdr:spPr>
        <a:xfrm>
          <a:off x="209684" y="125639"/>
          <a:ext cx="638602" cy="486570"/>
        </a:xfrm>
        <a:prstGeom prst="rect">
          <a:avLst/>
        </a:prstGeom>
      </xdr:spPr>
    </xdr:pic>
    <xdr:clientData/>
  </xdr:twoCellAnchor>
  <xdr:twoCellAnchor>
    <xdr:from>
      <xdr:col>5</xdr:col>
      <xdr:colOff>528410</xdr:colOff>
      <xdr:row>0</xdr:row>
      <xdr:rowOff>181881</xdr:rowOff>
    </xdr:from>
    <xdr:to>
      <xdr:col>14</xdr:col>
      <xdr:colOff>697139</xdr:colOff>
      <xdr:row>0</xdr:row>
      <xdr:rowOff>486681</xdr:rowOff>
    </xdr:to>
    <xdr:sp macro="" textlink="">
      <xdr:nvSpPr>
        <xdr:cNvPr id="6" name="TextBox 2">
          <a:hlinkClick xmlns:r="http://schemas.openxmlformats.org/officeDocument/2006/relationships" r:id="rId2"/>
          <a:extLst>
            <a:ext uri="{FF2B5EF4-FFF2-40B4-BE49-F238E27FC236}">
              <a16:creationId xmlns:a16="http://schemas.microsoft.com/office/drawing/2014/main" id="{2341A2BB-C157-4730-82D3-3EFA560F91EC}"/>
            </a:ext>
          </a:extLst>
        </xdr:cNvPr>
        <xdr:cNvSpPr txBox="1"/>
      </xdr:nvSpPr>
      <xdr:spPr>
        <a:xfrm>
          <a:off x="6855731" y="181881"/>
          <a:ext cx="874122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50">
              <a:latin typeface="Arial" panose="020B0604020202020204" pitchFamily="34" charset="0"/>
              <a:cs typeface="Arial" panose="020B0604020202020204" pitchFamily="34" charset="0"/>
            </a:rPr>
            <a:t>For more details on the methodology and how to use this worksheet please see the documentation in </a:t>
          </a:r>
          <a:r>
            <a:rPr lang="en-GB" sz="1050" b="1" u="sng">
              <a:solidFill>
                <a:srgbClr val="0070C0"/>
              </a:solidFill>
              <a:latin typeface="Arial" panose="020B0604020202020204" pitchFamily="34" charset="0"/>
              <a:cs typeface="Arial" panose="020B0604020202020204" pitchFamily="34" charset="0"/>
            </a:rPr>
            <a:t>How the NZS works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732972</xdr:colOff>
      <xdr:row>0</xdr:row>
      <xdr:rowOff>463731</xdr:rowOff>
    </xdr:to>
    <xdr:pic>
      <xdr:nvPicPr>
        <xdr:cNvPr id="2" name="Picture 1">
          <a:extLst>
            <a:ext uri="{FF2B5EF4-FFF2-40B4-BE49-F238E27FC236}">
              <a16:creationId xmlns:a16="http://schemas.microsoft.com/office/drawing/2014/main" id="{468DB7B8-D506-49C0-9B90-C607D31BA3E2}"/>
            </a:ext>
          </a:extLst>
        </xdr:cNvPr>
        <xdr:cNvPicPr>
          <a:picLocks noChangeAspect="1"/>
        </xdr:cNvPicPr>
      </xdr:nvPicPr>
      <xdr:blipFill>
        <a:blip xmlns:r="http://schemas.openxmlformats.org/officeDocument/2006/relationships" r:embed="rId1"/>
        <a:stretch>
          <a:fillRect/>
        </a:stretch>
      </xdr:blipFill>
      <xdr:spPr>
        <a:xfrm>
          <a:off x="381000" y="0"/>
          <a:ext cx="729797" cy="4605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igcc-my.sharepoint.com/personal/hbouckaert_iigcc_org/Documents/NZS%20prelim%20dataset%2018-12.xlsx" TargetMode="External"/><Relationship Id="rId1" Type="http://schemas.openxmlformats.org/officeDocument/2006/relationships/externalLinkPath" Target="https://iigcc-my.sharepoint.com/personal/hbouckaert_iigcc_org/Documents/NZS%20prelim%20dataset%2018-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Methodology Ref"/>
      <sheetName val="Scoring Results &gt;"/>
      <sheetName val="Company final % overview  (2)"/>
      <sheetName val="Company Final (%) (2)"/>
      <sheetName val="CA100 2023 Scores"/>
      <sheetName val="NZS O&amp;G and CA100"/>
      <sheetName val="NZS O&amp;G Summary"/>
      <sheetName val="Assessment Sheets &gt;"/>
      <sheetName val="BP"/>
      <sheetName val="Chevron"/>
      <sheetName val="ConocoPhillips"/>
      <sheetName val="Eni"/>
      <sheetName val="Exxon"/>
      <sheetName val="Oxy"/>
      <sheetName val="Repsol"/>
      <sheetName val="Shell"/>
      <sheetName val="Suncor"/>
      <sheetName val="Total"/>
      <sheetName val="Petrobras"/>
      <sheetName val="PTT"/>
      <sheetName val="Woodside"/>
      <sheetName val="Old Assessment Sheets (v2) &gt;"/>
      <sheetName val="Scoring Results_OLD &gt;"/>
      <sheetName val="Company Final_OLD"/>
      <sheetName val="Company final % overview_OLD"/>
      <sheetName val="Company Final (%)_Old"/>
      <sheetName val="Summary Score Sheet_OLD"/>
      <sheetName val="BP Scoring Sheet_OLD"/>
      <sheetName val="Chevron Scoring Sheet_OLD"/>
      <sheetName val="ConocoPhillips Scoring Sheet_OL"/>
      <sheetName val="Eni Scoring Sheet_OLD"/>
      <sheetName val="Exxon Scoring Sheet_OLD"/>
      <sheetName val="Oxy Scoring Sheet_OLD"/>
      <sheetName val="Repsol Scoring Sheet_OLD"/>
      <sheetName val="Shell Scoring Sheet_OLD"/>
      <sheetName val="Suncor Scoring Sheet_OLD"/>
      <sheetName val="Total Scoring Sheet_OLD"/>
      <sheetName val="BP_v2"/>
      <sheetName val="Chevron_v2"/>
      <sheetName val="ConocoPhillips_v2"/>
      <sheetName val="Eni_v2"/>
      <sheetName val="Exxon_v2"/>
      <sheetName val="Oxy_v2"/>
      <sheetName val="Repsol_v2"/>
      <sheetName val="Shell_v2"/>
      <sheetName val="Suncor_v2"/>
      <sheetName val="Total_v2"/>
      <sheetName val="Old assessment sheets &gt;"/>
      <sheetName val="BP_old"/>
      <sheetName val="Chevron_old"/>
      <sheetName val="ConocoPhillips_old"/>
      <sheetName val="Eni_old"/>
      <sheetName val="Exxon_old"/>
      <sheetName val="Oxy_old"/>
      <sheetName val="Total_old"/>
      <sheetName val="Repsol_old"/>
      <sheetName val="Shell_old"/>
      <sheetName val="Suncor_old"/>
    </sheetNames>
    <sheetDataSet>
      <sheetData sheetId="0"/>
      <sheetData sheetId="1"/>
      <sheetData sheetId="2"/>
      <sheetData sheetId="3"/>
      <sheetData sheetId="4"/>
      <sheetData sheetId="5">
        <row r="1">
          <cell r="E1" t="str">
            <v>BP</v>
          </cell>
          <cell r="F1" t="str">
            <v>Chevron</v>
          </cell>
          <cell r="G1" t="str">
            <v>ConocoPhillips</v>
          </cell>
          <cell r="H1" t="str">
            <v>Eni</v>
          </cell>
          <cell r="I1" t="str">
            <v>Exxon</v>
          </cell>
          <cell r="J1" t="str">
            <v>Oxy</v>
          </cell>
          <cell r="K1" t="str">
            <v>Repsol</v>
          </cell>
          <cell r="L1" t="str">
            <v>Shell</v>
          </cell>
          <cell r="M1" t="str">
            <v>Suncor</v>
          </cell>
          <cell r="N1" t="str">
            <v>TotalEnergies</v>
          </cell>
        </row>
        <row r="5">
          <cell r="A5">
            <v>1</v>
          </cell>
          <cell r="E5" t="str">
            <v>Y</v>
          </cell>
          <cell r="F5" t="str">
            <v>N</v>
          </cell>
          <cell r="G5" t="str">
            <v>Partial</v>
          </cell>
          <cell r="H5" t="str">
            <v>Y</v>
          </cell>
          <cell r="I5" t="str">
            <v>Partial</v>
          </cell>
          <cell r="J5" t="str">
            <v>Y</v>
          </cell>
          <cell r="K5" t="str">
            <v>Partial</v>
          </cell>
          <cell r="L5" t="str">
            <v>Y</v>
          </cell>
          <cell r="M5" t="str">
            <v>Partial</v>
          </cell>
          <cell r="N5" t="str">
            <v>Y</v>
          </cell>
        </row>
        <row r="6">
          <cell r="A6">
            <v>1.1000000000000001</v>
          </cell>
          <cell r="E6" t="str">
            <v>Y</v>
          </cell>
          <cell r="F6" t="str">
            <v>N</v>
          </cell>
          <cell r="G6" t="str">
            <v>Partial</v>
          </cell>
          <cell r="H6" t="str">
            <v>Y</v>
          </cell>
          <cell r="I6" t="str">
            <v>Partial</v>
          </cell>
          <cell r="J6" t="str">
            <v>Y</v>
          </cell>
          <cell r="K6" t="str">
            <v>Partial</v>
          </cell>
          <cell r="L6" t="str">
            <v>Y</v>
          </cell>
          <cell r="M6" t="str">
            <v>Partial</v>
          </cell>
          <cell r="N6" t="str">
            <v>Y</v>
          </cell>
        </row>
        <row r="7">
          <cell r="A7" t="str">
            <v>1.1.a</v>
          </cell>
          <cell r="E7" t="str">
            <v>Y</v>
          </cell>
          <cell r="F7" t="str">
            <v>N</v>
          </cell>
          <cell r="G7" t="str">
            <v>Y</v>
          </cell>
          <cell r="H7" t="str">
            <v>Y</v>
          </cell>
          <cell r="I7" t="str">
            <v>Y</v>
          </cell>
          <cell r="J7" t="str">
            <v>Y</v>
          </cell>
          <cell r="K7" t="str">
            <v>Y</v>
          </cell>
          <cell r="L7" t="str">
            <v>Y</v>
          </cell>
          <cell r="M7" t="str">
            <v>Y</v>
          </cell>
          <cell r="N7" t="str">
            <v>Y</v>
          </cell>
        </row>
        <row r="8">
          <cell r="A8" t="str">
            <v>1.1.b</v>
          </cell>
          <cell r="E8" t="str">
            <v>Y</v>
          </cell>
          <cell r="F8" t="str">
            <v>N</v>
          </cell>
          <cell r="G8" t="str">
            <v>N</v>
          </cell>
          <cell r="H8" t="str">
            <v>Y</v>
          </cell>
          <cell r="I8" t="str">
            <v>N</v>
          </cell>
          <cell r="J8" t="str">
            <v>Y</v>
          </cell>
          <cell r="K8" t="str">
            <v>N</v>
          </cell>
          <cell r="L8" t="str">
            <v>Y</v>
          </cell>
          <cell r="M8" t="str">
            <v>N</v>
          </cell>
          <cell r="N8" t="str">
            <v>Y</v>
          </cell>
        </row>
        <row r="9">
          <cell r="A9">
            <v>2</v>
          </cell>
          <cell r="E9" t="str">
            <v>Y</v>
          </cell>
          <cell r="F9" t="str">
            <v>Partial</v>
          </cell>
          <cell r="G9" t="str">
            <v>Partial</v>
          </cell>
          <cell r="H9" t="str">
            <v>Y</v>
          </cell>
          <cell r="I9" t="str">
            <v>Partial</v>
          </cell>
          <cell r="J9" t="str">
            <v>Y</v>
          </cell>
          <cell r="K9" t="str">
            <v>Partial</v>
          </cell>
          <cell r="L9" t="str">
            <v>Partial</v>
          </cell>
          <cell r="M9" t="str">
            <v>Partial</v>
          </cell>
          <cell r="N9" t="str">
            <v>Partial</v>
          </cell>
        </row>
        <row r="10">
          <cell r="A10">
            <v>2.1</v>
          </cell>
          <cell r="E10" t="str">
            <v>Y</v>
          </cell>
          <cell r="F10" t="str">
            <v>Y</v>
          </cell>
          <cell r="G10" t="str">
            <v>Y</v>
          </cell>
          <cell r="H10" t="str">
            <v>Y</v>
          </cell>
          <cell r="I10" t="str">
            <v>Y</v>
          </cell>
          <cell r="J10" t="str">
            <v>Y</v>
          </cell>
          <cell r="K10" t="str">
            <v>Y</v>
          </cell>
          <cell r="L10" t="str">
            <v>Y</v>
          </cell>
          <cell r="M10" t="str">
            <v>Y</v>
          </cell>
          <cell r="N10" t="str">
            <v>Y</v>
          </cell>
        </row>
        <row r="11">
          <cell r="A11">
            <v>2.2000000000000002</v>
          </cell>
          <cell r="E11" t="str">
            <v>Y</v>
          </cell>
          <cell r="F11" t="str">
            <v>N</v>
          </cell>
          <cell r="G11" t="str">
            <v>Partial</v>
          </cell>
          <cell r="H11" t="str">
            <v>Y</v>
          </cell>
          <cell r="I11" t="str">
            <v>Partial</v>
          </cell>
          <cell r="J11" t="str">
            <v>Y</v>
          </cell>
          <cell r="K11" t="str">
            <v>Partial</v>
          </cell>
          <cell r="L11" t="str">
            <v>Y</v>
          </cell>
          <cell r="M11" t="str">
            <v>Partial</v>
          </cell>
          <cell r="N11" t="str">
            <v>Y</v>
          </cell>
        </row>
        <row r="12">
          <cell r="A12" t="str">
            <v>2.2.a</v>
          </cell>
          <cell r="E12" t="str">
            <v>Y</v>
          </cell>
          <cell r="F12" t="str">
            <v>N</v>
          </cell>
          <cell r="G12" t="str">
            <v>Y</v>
          </cell>
          <cell r="H12" t="str">
            <v>Y</v>
          </cell>
          <cell r="I12" t="str">
            <v>Y</v>
          </cell>
          <cell r="J12" t="str">
            <v>Y</v>
          </cell>
          <cell r="K12" t="str">
            <v>Y</v>
          </cell>
          <cell r="L12" t="str">
            <v>Y</v>
          </cell>
          <cell r="M12" t="str">
            <v>Y</v>
          </cell>
          <cell r="N12" t="str">
            <v>Y</v>
          </cell>
        </row>
        <row r="13">
          <cell r="A13" t="str">
            <v>2.2.b</v>
          </cell>
          <cell r="E13" t="str">
            <v>Y</v>
          </cell>
          <cell r="F13" t="str">
            <v>N</v>
          </cell>
          <cell r="G13" t="str">
            <v>N</v>
          </cell>
          <cell r="H13" t="str">
            <v>Y</v>
          </cell>
          <cell r="I13" t="str">
            <v>N</v>
          </cell>
          <cell r="J13" t="str">
            <v>Y</v>
          </cell>
          <cell r="K13" t="str">
            <v>N</v>
          </cell>
          <cell r="L13" t="str">
            <v>Y</v>
          </cell>
          <cell r="M13" t="str">
            <v>N</v>
          </cell>
          <cell r="N13" t="str">
            <v>Y</v>
          </cell>
        </row>
        <row r="14">
          <cell r="A14">
            <v>2.2999999999999998</v>
          </cell>
          <cell r="E14" t="str">
            <v>Y</v>
          </cell>
          <cell r="F14" t="str">
            <v>N</v>
          </cell>
          <cell r="G14" t="str">
            <v>N</v>
          </cell>
          <cell r="H14" t="str">
            <v>Y</v>
          </cell>
          <cell r="I14" t="str">
            <v>N</v>
          </cell>
          <cell r="J14" t="str">
            <v>Y</v>
          </cell>
          <cell r="K14" t="str">
            <v>N</v>
          </cell>
          <cell r="L14" t="str">
            <v>N</v>
          </cell>
          <cell r="M14" t="str">
            <v>N</v>
          </cell>
          <cell r="N14" t="str">
            <v>N</v>
          </cell>
        </row>
        <row r="15">
          <cell r="A15">
            <v>3</v>
          </cell>
          <cell r="E15" t="str">
            <v>Partial</v>
          </cell>
          <cell r="F15" t="str">
            <v>Partial</v>
          </cell>
          <cell r="G15" t="str">
            <v>Partial</v>
          </cell>
          <cell r="H15" t="str">
            <v>Partial</v>
          </cell>
          <cell r="I15" t="str">
            <v>N</v>
          </cell>
          <cell r="J15" t="str">
            <v>N</v>
          </cell>
          <cell r="K15" t="str">
            <v>Partial</v>
          </cell>
          <cell r="L15" t="str">
            <v>Partial</v>
          </cell>
          <cell r="M15" t="str">
            <v>N</v>
          </cell>
          <cell r="N15" t="str">
            <v>Partial</v>
          </cell>
        </row>
        <row r="16">
          <cell r="A16">
            <v>3.1</v>
          </cell>
          <cell r="E16" t="str">
            <v>Y</v>
          </cell>
          <cell r="F16" t="str">
            <v>Y</v>
          </cell>
          <cell r="G16" t="str">
            <v>Y</v>
          </cell>
          <cell r="H16" t="str">
            <v>Y</v>
          </cell>
          <cell r="I16" t="str">
            <v>N</v>
          </cell>
          <cell r="J16" t="str">
            <v>N</v>
          </cell>
          <cell r="K16" t="str">
            <v>Y</v>
          </cell>
          <cell r="L16" t="str">
            <v>Y</v>
          </cell>
          <cell r="M16" t="str">
            <v>N</v>
          </cell>
          <cell r="N16" t="str">
            <v>Y</v>
          </cell>
        </row>
        <row r="17">
          <cell r="A17">
            <v>3.2</v>
          </cell>
          <cell r="E17" t="str">
            <v>Y</v>
          </cell>
          <cell r="F17" t="str">
            <v>Y</v>
          </cell>
          <cell r="G17" t="str">
            <v>Partial</v>
          </cell>
          <cell r="H17" t="str">
            <v>Y</v>
          </cell>
          <cell r="I17" t="str">
            <v>N</v>
          </cell>
          <cell r="J17" t="str">
            <v>N</v>
          </cell>
          <cell r="K17" t="str">
            <v>Partial</v>
          </cell>
          <cell r="L17" t="str">
            <v>Y</v>
          </cell>
          <cell r="M17" t="str">
            <v>N</v>
          </cell>
          <cell r="N17" t="str">
            <v>Y</v>
          </cell>
        </row>
        <row r="18">
          <cell r="A18" t="str">
            <v>3.2.a</v>
          </cell>
          <cell r="E18" t="str">
            <v>Y</v>
          </cell>
          <cell r="F18" t="str">
            <v>Y</v>
          </cell>
          <cell r="G18" t="str">
            <v>Y</v>
          </cell>
          <cell r="H18" t="str">
            <v>Y</v>
          </cell>
          <cell r="I18" t="str">
            <v>N</v>
          </cell>
          <cell r="J18" t="str">
            <v>N</v>
          </cell>
          <cell r="K18" t="str">
            <v>Y</v>
          </cell>
          <cell r="L18" t="str">
            <v>Y</v>
          </cell>
          <cell r="M18" t="str">
            <v>N</v>
          </cell>
          <cell r="N18" t="str">
            <v>Y</v>
          </cell>
        </row>
        <row r="19">
          <cell r="A19" t="str">
            <v>3.2.b</v>
          </cell>
          <cell r="E19" t="str">
            <v>Y</v>
          </cell>
          <cell r="F19" t="str">
            <v>Y</v>
          </cell>
          <cell r="G19" t="str">
            <v>N</v>
          </cell>
          <cell r="H19" t="str">
            <v>Y</v>
          </cell>
          <cell r="I19" t="str">
            <v>N</v>
          </cell>
          <cell r="J19" t="str">
            <v>N</v>
          </cell>
          <cell r="K19" t="str">
            <v>N</v>
          </cell>
          <cell r="L19" t="str">
            <v>Y</v>
          </cell>
          <cell r="M19" t="str">
            <v>N</v>
          </cell>
          <cell r="N19" t="str">
            <v>Y</v>
          </cell>
        </row>
        <row r="20">
          <cell r="A20">
            <v>3.3</v>
          </cell>
          <cell r="E20" t="str">
            <v>N</v>
          </cell>
          <cell r="F20" t="str">
            <v>N</v>
          </cell>
          <cell r="G20" t="str">
            <v>N</v>
          </cell>
          <cell r="H20" t="str">
            <v>N</v>
          </cell>
          <cell r="I20" t="str">
            <v>N</v>
          </cell>
          <cell r="J20" t="str">
            <v>N</v>
          </cell>
          <cell r="K20" t="str">
            <v>N</v>
          </cell>
          <cell r="L20" t="str">
            <v>N</v>
          </cell>
          <cell r="M20" t="str">
            <v>N</v>
          </cell>
          <cell r="N20" t="str">
            <v>N</v>
          </cell>
        </row>
        <row r="21">
          <cell r="A21">
            <v>3.4</v>
          </cell>
          <cell r="E21" t="str">
            <v>Not Assessed</v>
          </cell>
          <cell r="F21" t="str">
            <v>Not Assessed</v>
          </cell>
          <cell r="G21" t="str">
            <v>Not Assessed</v>
          </cell>
          <cell r="H21" t="str">
            <v>Not Assessed</v>
          </cell>
          <cell r="I21" t="str">
            <v>Not Assessed</v>
          </cell>
          <cell r="J21" t="str">
            <v>Not Assessed</v>
          </cell>
          <cell r="K21" t="str">
            <v>Not Assessed</v>
          </cell>
          <cell r="L21" t="str">
            <v>Not Assessed</v>
          </cell>
          <cell r="M21" t="str">
            <v>Not Assessed</v>
          </cell>
          <cell r="N21" t="str">
            <v>Not Assessed</v>
          </cell>
        </row>
        <row r="22">
          <cell r="A22">
            <v>4</v>
          </cell>
          <cell r="E22" t="str">
            <v>Partial</v>
          </cell>
          <cell r="F22" t="str">
            <v>Partial</v>
          </cell>
          <cell r="G22" t="str">
            <v>N</v>
          </cell>
          <cell r="H22" t="str">
            <v>Partial</v>
          </cell>
          <cell r="I22" t="str">
            <v>Partial</v>
          </cell>
          <cell r="J22" t="str">
            <v>Partial</v>
          </cell>
          <cell r="K22" t="str">
            <v>Partial</v>
          </cell>
          <cell r="L22" t="str">
            <v>Partial</v>
          </cell>
          <cell r="M22" t="str">
            <v>N</v>
          </cell>
          <cell r="N22" t="str">
            <v>Partial</v>
          </cell>
        </row>
        <row r="23">
          <cell r="A23">
            <v>4.0999999999999996</v>
          </cell>
          <cell r="E23" t="str">
            <v>Y</v>
          </cell>
          <cell r="F23" t="str">
            <v>Y</v>
          </cell>
          <cell r="G23" t="str">
            <v>N</v>
          </cell>
          <cell r="H23" t="str">
            <v>Y</v>
          </cell>
          <cell r="I23" t="str">
            <v>Y</v>
          </cell>
          <cell r="J23" t="str">
            <v>Y</v>
          </cell>
          <cell r="K23" t="str">
            <v>Y</v>
          </cell>
          <cell r="L23" t="str">
            <v>Y</v>
          </cell>
          <cell r="M23" t="str">
            <v>N</v>
          </cell>
          <cell r="N23" t="str">
            <v>Y</v>
          </cell>
        </row>
        <row r="24">
          <cell r="A24">
            <v>4.2</v>
          </cell>
          <cell r="E24" t="str">
            <v>Y</v>
          </cell>
          <cell r="F24" t="str">
            <v>N</v>
          </cell>
          <cell r="G24" t="str">
            <v>N</v>
          </cell>
          <cell r="H24" t="str">
            <v>Partial</v>
          </cell>
          <cell r="I24" t="str">
            <v>N</v>
          </cell>
          <cell r="J24" t="str">
            <v>Partial</v>
          </cell>
          <cell r="K24" t="str">
            <v>Partial</v>
          </cell>
          <cell r="L24" t="str">
            <v>Y</v>
          </cell>
          <cell r="M24" t="str">
            <v>N</v>
          </cell>
          <cell r="N24" t="str">
            <v>Y</v>
          </cell>
        </row>
        <row r="25">
          <cell r="A25" t="str">
            <v>4.2.a</v>
          </cell>
          <cell r="E25" t="str">
            <v>Y</v>
          </cell>
          <cell r="F25" t="str">
            <v>N</v>
          </cell>
          <cell r="G25" t="str">
            <v>N</v>
          </cell>
          <cell r="H25" t="str">
            <v>Y</v>
          </cell>
          <cell r="I25" t="str">
            <v>N</v>
          </cell>
          <cell r="J25" t="str">
            <v>Y</v>
          </cell>
          <cell r="K25" t="str">
            <v>Y</v>
          </cell>
          <cell r="L25" t="str">
            <v>Y</v>
          </cell>
          <cell r="M25" t="str">
            <v>N</v>
          </cell>
          <cell r="N25" t="str">
            <v>Y</v>
          </cell>
        </row>
        <row r="26">
          <cell r="A26" t="str">
            <v>4.2.b</v>
          </cell>
          <cell r="E26" t="str">
            <v>Y</v>
          </cell>
          <cell r="F26" t="str">
            <v>N</v>
          </cell>
          <cell r="G26" t="str">
            <v>N</v>
          </cell>
          <cell r="H26" t="str">
            <v>N</v>
          </cell>
          <cell r="I26" t="str">
            <v>N</v>
          </cell>
          <cell r="J26" t="str">
            <v>N</v>
          </cell>
          <cell r="K26" t="str">
            <v>N</v>
          </cell>
          <cell r="L26" t="str">
            <v>Y</v>
          </cell>
          <cell r="M26" t="str">
            <v>N</v>
          </cell>
          <cell r="N26" t="str">
            <v>Y</v>
          </cell>
        </row>
        <row r="27">
          <cell r="A27">
            <v>4.3</v>
          </cell>
          <cell r="E27" t="str">
            <v>N</v>
          </cell>
          <cell r="F27" t="str">
            <v>N</v>
          </cell>
          <cell r="G27" t="str">
            <v>N</v>
          </cell>
          <cell r="H27" t="str">
            <v>N</v>
          </cell>
          <cell r="I27" t="str">
            <v>N</v>
          </cell>
          <cell r="J27" t="str">
            <v>N</v>
          </cell>
          <cell r="K27" t="str">
            <v>N</v>
          </cell>
          <cell r="L27" t="str">
            <v>N</v>
          </cell>
          <cell r="M27" t="str">
            <v>N</v>
          </cell>
          <cell r="N27" t="str">
            <v>N</v>
          </cell>
        </row>
        <row r="28">
          <cell r="A28">
            <v>5</v>
          </cell>
          <cell r="E28" t="str">
            <v>Partial</v>
          </cell>
          <cell r="F28" t="str">
            <v>Partial</v>
          </cell>
          <cell r="G28" t="str">
            <v>N</v>
          </cell>
          <cell r="H28" t="str">
            <v>Partial</v>
          </cell>
          <cell r="I28" t="str">
            <v>N</v>
          </cell>
          <cell r="J28" t="str">
            <v>N</v>
          </cell>
          <cell r="K28" t="str">
            <v>Partial</v>
          </cell>
          <cell r="L28" t="str">
            <v>Partial</v>
          </cell>
          <cell r="M28" t="str">
            <v>N</v>
          </cell>
          <cell r="N28" t="str">
            <v>Partial</v>
          </cell>
        </row>
        <row r="29">
          <cell r="A29">
            <v>5.0999999999999996</v>
          </cell>
          <cell r="E29" t="str">
            <v>Partial</v>
          </cell>
          <cell r="F29" t="str">
            <v>Partial</v>
          </cell>
          <cell r="G29" t="str">
            <v>N</v>
          </cell>
          <cell r="H29" t="str">
            <v>Y</v>
          </cell>
          <cell r="I29" t="str">
            <v>N</v>
          </cell>
          <cell r="J29" t="str">
            <v>N</v>
          </cell>
          <cell r="K29" t="str">
            <v>Partial</v>
          </cell>
          <cell r="L29" t="str">
            <v>Partial</v>
          </cell>
          <cell r="M29" t="str">
            <v>N</v>
          </cell>
          <cell r="N29" t="str">
            <v>Partial</v>
          </cell>
        </row>
        <row r="30">
          <cell r="A30" t="str">
            <v>5.1.a</v>
          </cell>
          <cell r="E30" t="str">
            <v>Y</v>
          </cell>
          <cell r="F30" t="str">
            <v>Y</v>
          </cell>
          <cell r="G30" t="str">
            <v>N</v>
          </cell>
          <cell r="H30" t="str">
            <v>Y</v>
          </cell>
          <cell r="I30" t="str">
            <v>N</v>
          </cell>
          <cell r="J30" t="str">
            <v>N</v>
          </cell>
          <cell r="K30" t="str">
            <v>Y</v>
          </cell>
          <cell r="L30" t="str">
            <v>Y</v>
          </cell>
          <cell r="M30" t="str">
            <v>N</v>
          </cell>
          <cell r="N30" t="str">
            <v>Y</v>
          </cell>
        </row>
        <row r="31">
          <cell r="A31" t="str">
            <v>5.1.b</v>
          </cell>
          <cell r="E31" t="str">
            <v>N</v>
          </cell>
          <cell r="F31" t="str">
            <v>Y</v>
          </cell>
          <cell r="G31" t="str">
            <v>N</v>
          </cell>
          <cell r="H31" t="str">
            <v>Y</v>
          </cell>
          <cell r="I31" t="str">
            <v>N</v>
          </cell>
          <cell r="J31" t="str">
            <v>N</v>
          </cell>
          <cell r="K31" t="str">
            <v>Y</v>
          </cell>
          <cell r="L31" t="str">
            <v>N</v>
          </cell>
          <cell r="M31" t="str">
            <v>N</v>
          </cell>
          <cell r="N31" t="str">
            <v>N</v>
          </cell>
        </row>
        <row r="32">
          <cell r="A32" t="str">
            <v>5.1.c</v>
          </cell>
          <cell r="E32" t="str">
            <v>N</v>
          </cell>
          <cell r="F32" t="str">
            <v>N</v>
          </cell>
          <cell r="G32" t="str">
            <v>N</v>
          </cell>
          <cell r="H32" t="str">
            <v>Y</v>
          </cell>
          <cell r="I32" t="str">
            <v>N</v>
          </cell>
          <cell r="J32" t="str">
            <v>N</v>
          </cell>
          <cell r="K32" t="str">
            <v>N</v>
          </cell>
          <cell r="L32" t="str">
            <v>N</v>
          </cell>
          <cell r="M32" t="str">
            <v>N</v>
          </cell>
          <cell r="N32" t="str">
            <v>N</v>
          </cell>
        </row>
        <row r="33">
          <cell r="A33" t="str">
            <v>5.1.d</v>
          </cell>
          <cell r="E33" t="str">
            <v>Not Assessed</v>
          </cell>
          <cell r="F33" t="str">
            <v>Not Assessed</v>
          </cell>
          <cell r="G33" t="str">
            <v>Not Assessed</v>
          </cell>
          <cell r="H33" t="str">
            <v>Not Assessed</v>
          </cell>
          <cell r="I33" t="str">
            <v>Not Assessed</v>
          </cell>
          <cell r="J33" t="str">
            <v>Not Assessed</v>
          </cell>
          <cell r="K33" t="str">
            <v>Not Assessed</v>
          </cell>
          <cell r="L33" t="str">
            <v>Not Assessed</v>
          </cell>
          <cell r="M33" t="str">
            <v>Not Assessed</v>
          </cell>
          <cell r="N33" t="str">
            <v>Not Assessed</v>
          </cell>
        </row>
        <row r="34">
          <cell r="A34">
            <v>5.2</v>
          </cell>
          <cell r="E34" t="str">
            <v>N</v>
          </cell>
          <cell r="F34" t="str">
            <v>N</v>
          </cell>
          <cell r="G34" t="str">
            <v>N</v>
          </cell>
          <cell r="H34" t="str">
            <v>Partial</v>
          </cell>
          <cell r="I34" t="str">
            <v>N</v>
          </cell>
          <cell r="J34" t="str">
            <v>N</v>
          </cell>
          <cell r="K34" t="str">
            <v>Partial</v>
          </cell>
          <cell r="L34" t="str">
            <v>Partial</v>
          </cell>
          <cell r="M34" t="str">
            <v>N</v>
          </cell>
          <cell r="N34" t="str">
            <v>Y</v>
          </cell>
        </row>
        <row r="35">
          <cell r="A35" t="str">
            <v>5.2.a</v>
          </cell>
          <cell r="E35" t="str">
            <v>N</v>
          </cell>
          <cell r="F35" t="str">
            <v>N</v>
          </cell>
          <cell r="G35" t="str">
            <v>N</v>
          </cell>
          <cell r="H35" t="str">
            <v>Y</v>
          </cell>
          <cell r="I35" t="str">
            <v>N</v>
          </cell>
          <cell r="J35" t="str">
            <v>N</v>
          </cell>
          <cell r="K35" t="str">
            <v>Y</v>
          </cell>
          <cell r="L35" t="str">
            <v>Y</v>
          </cell>
          <cell r="M35" t="str">
            <v>N</v>
          </cell>
          <cell r="N35" t="str">
            <v>Y</v>
          </cell>
        </row>
        <row r="36">
          <cell r="A36" t="str">
            <v>5.2.b</v>
          </cell>
          <cell r="E36" t="str">
            <v>N</v>
          </cell>
          <cell r="F36" t="str">
            <v>N</v>
          </cell>
          <cell r="G36" t="str">
            <v>N</v>
          </cell>
          <cell r="H36" t="str">
            <v>N</v>
          </cell>
          <cell r="I36" t="str">
            <v>N</v>
          </cell>
          <cell r="J36" t="str">
            <v>N</v>
          </cell>
          <cell r="K36" t="str">
            <v>N</v>
          </cell>
          <cell r="L36" t="str">
            <v>N</v>
          </cell>
          <cell r="M36" t="str">
            <v>N</v>
          </cell>
          <cell r="N36" t="str">
            <v>Y</v>
          </cell>
        </row>
        <row r="37">
          <cell r="A37">
            <v>6</v>
          </cell>
          <cell r="E37" t="str">
            <v>Y</v>
          </cell>
          <cell r="F37" t="str">
            <v>Partial</v>
          </cell>
          <cell r="G37" t="str">
            <v>N</v>
          </cell>
          <cell r="H37" t="str">
            <v>Y</v>
          </cell>
          <cell r="I37" t="str">
            <v>Partial</v>
          </cell>
          <cell r="J37" t="str">
            <v>N</v>
          </cell>
          <cell r="K37" t="str">
            <v>N</v>
          </cell>
          <cell r="L37" t="str">
            <v>Partial</v>
          </cell>
          <cell r="M37" t="str">
            <v>N</v>
          </cell>
          <cell r="N37" t="str">
            <v>Partial</v>
          </cell>
        </row>
        <row r="38">
          <cell r="A38">
            <v>6.1</v>
          </cell>
          <cell r="E38" t="str">
            <v>Y</v>
          </cell>
          <cell r="F38" t="str">
            <v>N</v>
          </cell>
          <cell r="G38" t="str">
            <v>N</v>
          </cell>
          <cell r="H38" t="str">
            <v>Y</v>
          </cell>
          <cell r="I38" t="str">
            <v>N</v>
          </cell>
          <cell r="J38" t="str">
            <v>N</v>
          </cell>
          <cell r="K38" t="str">
            <v>N</v>
          </cell>
          <cell r="L38" t="str">
            <v>Partial</v>
          </cell>
          <cell r="M38" t="str">
            <v>N</v>
          </cell>
          <cell r="N38" t="str">
            <v>Partial</v>
          </cell>
        </row>
        <row r="39">
          <cell r="A39" t="str">
            <v>6.1.a</v>
          </cell>
          <cell r="E39" t="str">
            <v>Y</v>
          </cell>
          <cell r="F39" t="str">
            <v>N</v>
          </cell>
          <cell r="G39" t="str">
            <v>N</v>
          </cell>
          <cell r="H39" t="str">
            <v>Y</v>
          </cell>
          <cell r="I39" t="str">
            <v>N</v>
          </cell>
          <cell r="J39" t="str">
            <v>N</v>
          </cell>
          <cell r="K39" t="str">
            <v>N</v>
          </cell>
          <cell r="L39" t="str">
            <v>N</v>
          </cell>
          <cell r="M39" t="str">
            <v>N</v>
          </cell>
          <cell r="N39" t="str">
            <v>N</v>
          </cell>
        </row>
        <row r="40">
          <cell r="A40" t="str">
            <v>6.1.b</v>
          </cell>
          <cell r="E40" t="str">
            <v>Y</v>
          </cell>
          <cell r="F40" t="str">
            <v>N</v>
          </cell>
          <cell r="G40" t="str">
            <v>N</v>
          </cell>
          <cell r="H40" t="str">
            <v>Y</v>
          </cell>
          <cell r="I40" t="str">
            <v>N</v>
          </cell>
          <cell r="J40" t="str">
            <v>N</v>
          </cell>
          <cell r="K40" t="str">
            <v>N</v>
          </cell>
          <cell r="L40" t="str">
            <v>Y</v>
          </cell>
          <cell r="M40" t="str">
            <v>N</v>
          </cell>
          <cell r="N40" t="str">
            <v>Y</v>
          </cell>
        </row>
        <row r="41">
          <cell r="A41">
            <v>6.2</v>
          </cell>
          <cell r="E41" t="str">
            <v>Y</v>
          </cell>
          <cell r="F41" t="str">
            <v>Partial</v>
          </cell>
          <cell r="G41" t="str">
            <v>N</v>
          </cell>
          <cell r="H41" t="str">
            <v>Y</v>
          </cell>
          <cell r="I41" t="str">
            <v>Partial</v>
          </cell>
          <cell r="J41" t="str">
            <v>N</v>
          </cell>
          <cell r="K41" t="str">
            <v>N</v>
          </cell>
          <cell r="L41" t="str">
            <v>Partial</v>
          </cell>
          <cell r="M41" t="str">
            <v>N</v>
          </cell>
          <cell r="N41" t="str">
            <v>Y</v>
          </cell>
        </row>
        <row r="42">
          <cell r="A42" t="str">
            <v>6.2.a</v>
          </cell>
          <cell r="E42" t="str">
            <v>Y</v>
          </cell>
          <cell r="F42" t="str">
            <v>N</v>
          </cell>
          <cell r="G42" t="str">
            <v>N</v>
          </cell>
          <cell r="H42" t="str">
            <v>Y</v>
          </cell>
          <cell r="I42" t="str">
            <v>N</v>
          </cell>
          <cell r="J42" t="str">
            <v>N</v>
          </cell>
          <cell r="K42" t="str">
            <v>N</v>
          </cell>
          <cell r="L42" t="str">
            <v>Y</v>
          </cell>
          <cell r="M42" t="str">
            <v>N</v>
          </cell>
          <cell r="N42" t="str">
            <v>Y</v>
          </cell>
        </row>
        <row r="43">
          <cell r="A43" t="str">
            <v>6.2.b</v>
          </cell>
          <cell r="E43" t="str">
            <v>Y</v>
          </cell>
          <cell r="F43" t="str">
            <v>Y</v>
          </cell>
          <cell r="G43" t="str">
            <v>N</v>
          </cell>
          <cell r="H43" t="str">
            <v>Y</v>
          </cell>
          <cell r="I43" t="str">
            <v>Y</v>
          </cell>
          <cell r="J43" t="str">
            <v>Not Applicable</v>
          </cell>
          <cell r="K43" t="str">
            <v>N</v>
          </cell>
          <cell r="L43" t="str">
            <v>N</v>
          </cell>
          <cell r="M43" t="str">
            <v>N</v>
          </cell>
          <cell r="N43" t="str">
            <v>Y</v>
          </cell>
        </row>
        <row r="44">
          <cell r="A44">
            <v>7</v>
          </cell>
          <cell r="E44" t="str">
            <v>Partial</v>
          </cell>
          <cell r="F44" t="str">
            <v>N</v>
          </cell>
          <cell r="G44" t="str">
            <v>Partial</v>
          </cell>
          <cell r="H44" t="str">
            <v>Partial</v>
          </cell>
          <cell r="I44" t="str">
            <v>Partial</v>
          </cell>
          <cell r="J44" t="str">
            <v>N</v>
          </cell>
          <cell r="K44" t="str">
            <v>Partial</v>
          </cell>
          <cell r="L44" t="str">
            <v>Partial</v>
          </cell>
          <cell r="M44" t="str">
            <v>N</v>
          </cell>
          <cell r="N44" t="str">
            <v>Partial</v>
          </cell>
        </row>
        <row r="45">
          <cell r="A45">
            <v>7.1</v>
          </cell>
          <cell r="E45" t="str">
            <v>Partial</v>
          </cell>
          <cell r="F45" t="str">
            <v>N</v>
          </cell>
          <cell r="G45" t="str">
            <v>Partial</v>
          </cell>
          <cell r="H45" t="str">
            <v>Partial</v>
          </cell>
          <cell r="I45" t="str">
            <v>N</v>
          </cell>
          <cell r="J45" t="str">
            <v>N</v>
          </cell>
          <cell r="K45" t="str">
            <v>Partial</v>
          </cell>
          <cell r="L45" t="str">
            <v>N</v>
          </cell>
          <cell r="M45" t="str">
            <v>N</v>
          </cell>
          <cell r="N45" t="str">
            <v>Partial</v>
          </cell>
        </row>
        <row r="46">
          <cell r="A46" t="str">
            <v>7.1.a</v>
          </cell>
          <cell r="E46" t="str">
            <v>Y</v>
          </cell>
          <cell r="F46" t="str">
            <v>N</v>
          </cell>
          <cell r="G46" t="str">
            <v>Y</v>
          </cell>
          <cell r="H46" t="str">
            <v>Y</v>
          </cell>
          <cell r="I46" t="str">
            <v>N</v>
          </cell>
          <cell r="J46" t="str">
            <v>N</v>
          </cell>
          <cell r="K46" t="str">
            <v>Y</v>
          </cell>
          <cell r="L46" t="str">
            <v>N</v>
          </cell>
          <cell r="M46" t="str">
            <v>N</v>
          </cell>
          <cell r="N46" t="str">
            <v>Y</v>
          </cell>
        </row>
        <row r="47">
          <cell r="A47" t="str">
            <v>7.1.b</v>
          </cell>
          <cell r="E47" t="str">
            <v>Y</v>
          </cell>
          <cell r="F47" t="str">
            <v>N</v>
          </cell>
          <cell r="G47" t="str">
            <v>N</v>
          </cell>
          <cell r="H47" t="str">
            <v>N</v>
          </cell>
          <cell r="I47" t="str">
            <v>N</v>
          </cell>
          <cell r="J47" t="str">
            <v>N</v>
          </cell>
          <cell r="K47" t="str">
            <v>Y</v>
          </cell>
          <cell r="L47" t="str">
            <v>N</v>
          </cell>
          <cell r="M47" t="str">
            <v>N</v>
          </cell>
          <cell r="N47" t="str">
            <v>Y</v>
          </cell>
        </row>
        <row r="48">
          <cell r="A48" t="str">
            <v>7.1.c</v>
          </cell>
          <cell r="E48" t="str">
            <v>N</v>
          </cell>
          <cell r="F48" t="str">
            <v>N</v>
          </cell>
          <cell r="G48" t="str">
            <v>N</v>
          </cell>
          <cell r="H48" t="str">
            <v>N</v>
          </cell>
          <cell r="I48" t="str">
            <v>N</v>
          </cell>
          <cell r="J48" t="str">
            <v>N</v>
          </cell>
          <cell r="K48" t="str">
            <v>N</v>
          </cell>
          <cell r="L48" t="str">
            <v>N</v>
          </cell>
          <cell r="M48" t="str">
            <v>N</v>
          </cell>
          <cell r="N48" t="str">
            <v>N</v>
          </cell>
        </row>
        <row r="49">
          <cell r="A49">
            <v>7.2</v>
          </cell>
          <cell r="E49" t="str">
            <v>Partial</v>
          </cell>
          <cell r="F49" t="str">
            <v>N</v>
          </cell>
          <cell r="G49" t="str">
            <v>N</v>
          </cell>
          <cell r="H49" t="str">
            <v>Partial</v>
          </cell>
          <cell r="I49" t="str">
            <v>Partial</v>
          </cell>
          <cell r="J49" t="str">
            <v>N</v>
          </cell>
          <cell r="K49" t="str">
            <v>Partial</v>
          </cell>
          <cell r="L49" t="str">
            <v>Partial</v>
          </cell>
          <cell r="M49" t="str">
            <v>N</v>
          </cell>
          <cell r="N49" t="str">
            <v>N</v>
          </cell>
        </row>
        <row r="50">
          <cell r="A50" t="str">
            <v>7.2.a</v>
          </cell>
          <cell r="E50" t="str">
            <v>N</v>
          </cell>
          <cell r="F50" t="str">
            <v>N</v>
          </cell>
          <cell r="G50" t="str">
            <v>N</v>
          </cell>
          <cell r="H50" t="str">
            <v>N</v>
          </cell>
          <cell r="I50" t="str">
            <v>N</v>
          </cell>
          <cell r="J50" t="str">
            <v>N</v>
          </cell>
          <cell r="K50" t="str">
            <v>N</v>
          </cell>
          <cell r="L50" t="str">
            <v>N</v>
          </cell>
          <cell r="M50" t="str">
            <v>N</v>
          </cell>
          <cell r="N50" t="str">
            <v>N</v>
          </cell>
        </row>
        <row r="51">
          <cell r="A51" t="str">
            <v>7.2.b</v>
          </cell>
          <cell r="E51" t="str">
            <v>Y</v>
          </cell>
          <cell r="F51" t="str">
            <v>N</v>
          </cell>
          <cell r="G51" t="str">
            <v>N</v>
          </cell>
          <cell r="H51" t="str">
            <v>Y</v>
          </cell>
          <cell r="I51" t="str">
            <v>Y</v>
          </cell>
          <cell r="J51" t="str">
            <v>N</v>
          </cell>
          <cell r="K51" t="str">
            <v>Y</v>
          </cell>
          <cell r="L51" t="str">
            <v>Y</v>
          </cell>
          <cell r="M51" t="str">
            <v>N</v>
          </cell>
          <cell r="N51" t="str">
            <v>N</v>
          </cell>
        </row>
        <row r="52">
          <cell r="A52">
            <v>8</v>
          </cell>
          <cell r="E52" t="str">
            <v>Y</v>
          </cell>
          <cell r="F52" t="str">
            <v>Partial</v>
          </cell>
          <cell r="G52" t="str">
            <v>Partial</v>
          </cell>
          <cell r="H52" t="str">
            <v>Partial</v>
          </cell>
          <cell r="I52" t="str">
            <v>Partial</v>
          </cell>
          <cell r="J52" t="str">
            <v>Partial</v>
          </cell>
          <cell r="K52" t="str">
            <v>Partial</v>
          </cell>
          <cell r="L52" t="str">
            <v>Partial</v>
          </cell>
          <cell r="M52" t="str">
            <v>Partial</v>
          </cell>
          <cell r="N52" t="str">
            <v>Y</v>
          </cell>
        </row>
        <row r="53">
          <cell r="A53">
            <v>8.1</v>
          </cell>
          <cell r="E53" t="str">
            <v>Y</v>
          </cell>
          <cell r="F53" t="str">
            <v>Partial</v>
          </cell>
          <cell r="G53" t="str">
            <v>Partial</v>
          </cell>
          <cell r="H53" t="str">
            <v>Y</v>
          </cell>
          <cell r="I53" t="str">
            <v>Partial</v>
          </cell>
          <cell r="J53" t="str">
            <v>Y</v>
          </cell>
          <cell r="K53" t="str">
            <v>Y</v>
          </cell>
          <cell r="L53" t="str">
            <v>Y</v>
          </cell>
          <cell r="M53" t="str">
            <v>Partial</v>
          </cell>
          <cell r="N53" t="str">
            <v>Y</v>
          </cell>
        </row>
        <row r="54">
          <cell r="A54" t="str">
            <v>8.1.a</v>
          </cell>
          <cell r="E54" t="str">
            <v>Y</v>
          </cell>
          <cell r="F54" t="str">
            <v>Y</v>
          </cell>
          <cell r="G54" t="str">
            <v>Y</v>
          </cell>
          <cell r="H54" t="str">
            <v>Y</v>
          </cell>
          <cell r="I54" t="str">
            <v>Y</v>
          </cell>
          <cell r="J54" t="str">
            <v>Y</v>
          </cell>
          <cell r="K54" t="str">
            <v>Y</v>
          </cell>
          <cell r="L54" t="str">
            <v>Y</v>
          </cell>
          <cell r="M54" t="str">
            <v>Y</v>
          </cell>
          <cell r="N54" t="str">
            <v>Y</v>
          </cell>
        </row>
        <row r="55">
          <cell r="A55" t="str">
            <v>8.1.b</v>
          </cell>
          <cell r="E55" t="str">
            <v>Y</v>
          </cell>
          <cell r="F55" t="str">
            <v>N</v>
          </cell>
          <cell r="G55" t="str">
            <v>N</v>
          </cell>
          <cell r="H55" t="str">
            <v>Y</v>
          </cell>
          <cell r="I55" t="str">
            <v>N</v>
          </cell>
          <cell r="J55" t="str">
            <v>Y</v>
          </cell>
          <cell r="K55" t="str">
            <v>Y</v>
          </cell>
          <cell r="L55" t="str">
            <v>Y</v>
          </cell>
          <cell r="M55" t="str">
            <v>N</v>
          </cell>
          <cell r="N55" t="str">
            <v>Y</v>
          </cell>
        </row>
        <row r="56">
          <cell r="A56">
            <v>8.1999999999999993</v>
          </cell>
          <cell r="E56" t="str">
            <v>Y</v>
          </cell>
          <cell r="F56" t="str">
            <v>Partial</v>
          </cell>
          <cell r="G56" t="str">
            <v>N</v>
          </cell>
          <cell r="H56" t="str">
            <v>Y</v>
          </cell>
          <cell r="I56" t="str">
            <v>Y</v>
          </cell>
          <cell r="J56" t="str">
            <v>Partial</v>
          </cell>
          <cell r="K56" t="str">
            <v>Y</v>
          </cell>
          <cell r="L56" t="str">
            <v>Y</v>
          </cell>
          <cell r="M56" t="str">
            <v>N</v>
          </cell>
          <cell r="N56" t="str">
            <v>Y</v>
          </cell>
        </row>
        <row r="57">
          <cell r="A57" t="str">
            <v>8.2.a</v>
          </cell>
          <cell r="E57" t="str">
            <v>Y</v>
          </cell>
          <cell r="F57" t="str">
            <v>Y</v>
          </cell>
          <cell r="G57" t="str">
            <v>N</v>
          </cell>
          <cell r="H57" t="str">
            <v>Y</v>
          </cell>
          <cell r="I57" t="str">
            <v>Y</v>
          </cell>
          <cell r="J57" t="str">
            <v>Y</v>
          </cell>
          <cell r="K57" t="str">
            <v>Y</v>
          </cell>
          <cell r="L57" t="str">
            <v>Y</v>
          </cell>
          <cell r="M57" t="str">
            <v>N</v>
          </cell>
          <cell r="N57" t="str">
            <v>Y</v>
          </cell>
        </row>
        <row r="58">
          <cell r="A58" t="str">
            <v>8.2.b</v>
          </cell>
          <cell r="E58" t="str">
            <v>Y</v>
          </cell>
          <cell r="F58" t="str">
            <v>N</v>
          </cell>
          <cell r="G58" t="str">
            <v>N</v>
          </cell>
          <cell r="H58" t="str">
            <v>Y</v>
          </cell>
          <cell r="I58" t="str">
            <v>Y</v>
          </cell>
          <cell r="J58" t="str">
            <v>N</v>
          </cell>
          <cell r="K58" t="str">
            <v>Y</v>
          </cell>
          <cell r="L58" t="str">
            <v>Y</v>
          </cell>
          <cell r="M58" t="str">
            <v>N</v>
          </cell>
          <cell r="N58" t="str">
            <v>Y</v>
          </cell>
        </row>
        <row r="59">
          <cell r="A59">
            <v>8.3000000000000007</v>
          </cell>
          <cell r="E59" t="str">
            <v>Y</v>
          </cell>
          <cell r="F59" t="str">
            <v>Partial</v>
          </cell>
          <cell r="G59" t="str">
            <v>N</v>
          </cell>
          <cell r="H59" t="str">
            <v>N</v>
          </cell>
          <cell r="I59" t="str">
            <v>Partial</v>
          </cell>
          <cell r="J59" t="str">
            <v>N</v>
          </cell>
          <cell r="K59" t="str">
            <v>N</v>
          </cell>
          <cell r="L59" t="str">
            <v>N</v>
          </cell>
          <cell r="M59" t="str">
            <v>Partial</v>
          </cell>
          <cell r="N59" t="str">
            <v>Y</v>
          </cell>
        </row>
        <row r="60">
          <cell r="A60" t="str">
            <v>8.3.a</v>
          </cell>
          <cell r="E60" t="str">
            <v>Y</v>
          </cell>
          <cell r="F60" t="str">
            <v>Y</v>
          </cell>
          <cell r="G60" t="str">
            <v>N</v>
          </cell>
          <cell r="H60" t="str">
            <v>N</v>
          </cell>
          <cell r="I60" t="str">
            <v>Y</v>
          </cell>
          <cell r="J60" t="str">
            <v>N</v>
          </cell>
          <cell r="K60" t="str">
            <v>N</v>
          </cell>
          <cell r="L60" t="str">
            <v>N</v>
          </cell>
          <cell r="M60" t="str">
            <v>Y</v>
          </cell>
          <cell r="N60" t="str">
            <v>Y</v>
          </cell>
        </row>
        <row r="61">
          <cell r="A61" t="str">
            <v>8.3.b</v>
          </cell>
          <cell r="E61" t="str">
            <v>Y</v>
          </cell>
          <cell r="F61" t="str">
            <v>N</v>
          </cell>
          <cell r="G61" t="str">
            <v>N</v>
          </cell>
          <cell r="H61" t="str">
            <v>N</v>
          </cell>
          <cell r="I61" t="str">
            <v>N</v>
          </cell>
          <cell r="J61" t="str">
            <v>N</v>
          </cell>
          <cell r="K61" t="str">
            <v>N</v>
          </cell>
          <cell r="L61" t="str">
            <v>N</v>
          </cell>
          <cell r="M61" t="str">
            <v>N</v>
          </cell>
          <cell r="N61" t="str">
            <v>Y</v>
          </cell>
        </row>
        <row r="62">
          <cell r="A62">
            <v>9</v>
          </cell>
          <cell r="E62" t="str">
            <v>Partial</v>
          </cell>
          <cell r="F62" t="str">
            <v>N</v>
          </cell>
          <cell r="G62" t="str">
            <v>Partial</v>
          </cell>
          <cell r="H62" t="str">
            <v>Partial</v>
          </cell>
          <cell r="I62" t="str">
            <v>Partial</v>
          </cell>
          <cell r="J62" t="str">
            <v>N</v>
          </cell>
          <cell r="K62" t="str">
            <v>Partial</v>
          </cell>
          <cell r="L62" t="str">
            <v>N</v>
          </cell>
          <cell r="M62" t="str">
            <v>N</v>
          </cell>
          <cell r="N62" t="str">
            <v>Partial</v>
          </cell>
        </row>
        <row r="63">
          <cell r="A63">
            <v>9.1</v>
          </cell>
          <cell r="E63" t="str">
            <v>Partial</v>
          </cell>
          <cell r="F63" t="str">
            <v>N</v>
          </cell>
          <cell r="G63" t="str">
            <v>Partial</v>
          </cell>
          <cell r="H63" t="str">
            <v>Partial</v>
          </cell>
          <cell r="I63" t="str">
            <v>Partial</v>
          </cell>
          <cell r="J63" t="str">
            <v>N</v>
          </cell>
          <cell r="K63" t="str">
            <v>Y</v>
          </cell>
          <cell r="L63" t="str">
            <v>N</v>
          </cell>
          <cell r="M63" t="str">
            <v>N</v>
          </cell>
          <cell r="N63" t="str">
            <v>Partial</v>
          </cell>
        </row>
        <row r="64">
          <cell r="A64" t="str">
            <v>9.1.a</v>
          </cell>
          <cell r="E64" t="str">
            <v>Y</v>
          </cell>
          <cell r="F64" t="str">
            <v>N</v>
          </cell>
          <cell r="G64" t="str">
            <v>Y</v>
          </cell>
          <cell r="H64" t="str">
            <v>Y</v>
          </cell>
          <cell r="I64" t="str">
            <v>Y</v>
          </cell>
          <cell r="J64" t="str">
            <v>N</v>
          </cell>
          <cell r="K64" t="str">
            <v>Y</v>
          </cell>
          <cell r="L64" t="str">
            <v>N</v>
          </cell>
          <cell r="M64" t="str">
            <v>N</v>
          </cell>
          <cell r="N64" t="str">
            <v>Y</v>
          </cell>
        </row>
        <row r="65">
          <cell r="A65" t="str">
            <v>9.1.b</v>
          </cell>
          <cell r="E65" t="str">
            <v>Y</v>
          </cell>
          <cell r="F65" t="str">
            <v>N</v>
          </cell>
          <cell r="G65" t="str">
            <v>N</v>
          </cell>
          <cell r="H65" t="str">
            <v>Y</v>
          </cell>
          <cell r="I65" t="str">
            <v>N</v>
          </cell>
          <cell r="J65" t="str">
            <v>N</v>
          </cell>
          <cell r="K65" t="str">
            <v>Y</v>
          </cell>
          <cell r="L65" t="str">
            <v>N</v>
          </cell>
          <cell r="M65" t="str">
            <v>N</v>
          </cell>
          <cell r="N65" t="str">
            <v>Y</v>
          </cell>
        </row>
        <row r="66">
          <cell r="A66" t="str">
            <v>9.1.c</v>
          </cell>
          <cell r="E66" t="str">
            <v>N</v>
          </cell>
          <cell r="F66" t="str">
            <v>N</v>
          </cell>
          <cell r="G66" t="str">
            <v>N</v>
          </cell>
          <cell r="H66" t="str">
            <v>N</v>
          </cell>
          <cell r="I66" t="str">
            <v>N</v>
          </cell>
          <cell r="J66" t="str">
            <v>N</v>
          </cell>
          <cell r="K66" t="str">
            <v>Y</v>
          </cell>
          <cell r="L66" t="str">
            <v>N</v>
          </cell>
          <cell r="M66" t="str">
            <v>N</v>
          </cell>
          <cell r="N66" t="str">
            <v>N</v>
          </cell>
        </row>
        <row r="67">
          <cell r="A67">
            <v>9.1999999999999993</v>
          </cell>
          <cell r="E67" t="str">
            <v>N</v>
          </cell>
          <cell r="F67" t="str">
            <v>N</v>
          </cell>
          <cell r="G67" t="str">
            <v>N</v>
          </cell>
          <cell r="H67" t="str">
            <v>Y</v>
          </cell>
          <cell r="I67" t="str">
            <v>N</v>
          </cell>
          <cell r="J67" t="str">
            <v>N</v>
          </cell>
          <cell r="K67" t="str">
            <v>Partial</v>
          </cell>
          <cell r="L67" t="str">
            <v>N</v>
          </cell>
          <cell r="M67" t="str">
            <v>N</v>
          </cell>
          <cell r="N67" t="str">
            <v>Partial</v>
          </cell>
        </row>
        <row r="68">
          <cell r="A68" t="str">
            <v>9.2.a</v>
          </cell>
          <cell r="E68" t="str">
            <v>N</v>
          </cell>
          <cell r="F68" t="str">
            <v>N</v>
          </cell>
          <cell r="G68" t="str">
            <v>N</v>
          </cell>
          <cell r="H68" t="str">
            <v>Y</v>
          </cell>
          <cell r="I68" t="str">
            <v>N</v>
          </cell>
          <cell r="J68" t="str">
            <v>N</v>
          </cell>
          <cell r="K68" t="str">
            <v>Y</v>
          </cell>
          <cell r="L68" t="str">
            <v>N</v>
          </cell>
          <cell r="M68" t="str">
            <v>N</v>
          </cell>
          <cell r="N68" t="str">
            <v>Y</v>
          </cell>
        </row>
        <row r="69">
          <cell r="A69" t="str">
            <v>9.2.b</v>
          </cell>
          <cell r="E69" t="str">
            <v>N</v>
          </cell>
          <cell r="F69" t="str">
            <v>N</v>
          </cell>
          <cell r="G69" t="str">
            <v>N</v>
          </cell>
          <cell r="H69" t="str">
            <v>Y</v>
          </cell>
          <cell r="I69" t="str">
            <v>N</v>
          </cell>
          <cell r="J69" t="str">
            <v>N</v>
          </cell>
          <cell r="K69" t="str">
            <v>Y</v>
          </cell>
          <cell r="L69" t="str">
            <v>N</v>
          </cell>
          <cell r="M69" t="str">
            <v>N</v>
          </cell>
          <cell r="N69" t="str">
            <v>N</v>
          </cell>
        </row>
        <row r="70">
          <cell r="A70" t="str">
            <v>9.2.c</v>
          </cell>
          <cell r="E70" t="str">
            <v>N</v>
          </cell>
          <cell r="F70" t="str">
            <v>N</v>
          </cell>
          <cell r="G70" t="str">
            <v>N</v>
          </cell>
          <cell r="H70" t="str">
            <v>Y</v>
          </cell>
          <cell r="I70" t="str">
            <v>N</v>
          </cell>
          <cell r="J70" t="str">
            <v>N</v>
          </cell>
          <cell r="K70" t="str">
            <v>N</v>
          </cell>
          <cell r="L70" t="str">
            <v>N</v>
          </cell>
          <cell r="M70" t="str">
            <v>N</v>
          </cell>
          <cell r="N70" t="str">
            <v>N</v>
          </cell>
        </row>
        <row r="71">
          <cell r="A71">
            <v>10</v>
          </cell>
          <cell r="E71" t="str">
            <v>Y</v>
          </cell>
          <cell r="F71" t="str">
            <v>Partial</v>
          </cell>
          <cell r="G71" t="str">
            <v>Partial</v>
          </cell>
          <cell r="H71" t="str">
            <v>Partial</v>
          </cell>
          <cell r="I71" t="str">
            <v>Y</v>
          </cell>
          <cell r="J71" t="str">
            <v>Y</v>
          </cell>
          <cell r="K71" t="str">
            <v>Y</v>
          </cell>
          <cell r="L71" t="str">
            <v>Y</v>
          </cell>
          <cell r="M71" t="str">
            <v>Partial</v>
          </cell>
          <cell r="N71" t="str">
            <v>Y</v>
          </cell>
        </row>
        <row r="72">
          <cell r="A72">
            <v>10.1</v>
          </cell>
          <cell r="E72" t="str">
            <v>Y</v>
          </cell>
          <cell r="F72" t="str">
            <v>N</v>
          </cell>
          <cell r="G72" t="str">
            <v>Y</v>
          </cell>
          <cell r="H72" t="str">
            <v>Y</v>
          </cell>
          <cell r="I72" t="str">
            <v>Y</v>
          </cell>
          <cell r="J72" t="str">
            <v>Y</v>
          </cell>
          <cell r="K72" t="str">
            <v>Y</v>
          </cell>
          <cell r="L72" t="str">
            <v>Y</v>
          </cell>
          <cell r="M72" t="str">
            <v>Y</v>
          </cell>
          <cell r="N72" t="str">
            <v>Y</v>
          </cell>
        </row>
        <row r="73">
          <cell r="A73" t="str">
            <v>10.1.a</v>
          </cell>
          <cell r="E73" t="str">
            <v>Y</v>
          </cell>
          <cell r="F73" t="str">
            <v>N</v>
          </cell>
          <cell r="G73" t="str">
            <v>Y</v>
          </cell>
          <cell r="H73" t="str">
            <v>Y</v>
          </cell>
          <cell r="I73" t="str">
            <v>Y</v>
          </cell>
          <cell r="J73" t="str">
            <v>Y</v>
          </cell>
          <cell r="K73" t="str">
            <v>Y</v>
          </cell>
          <cell r="L73" t="str">
            <v>Y</v>
          </cell>
          <cell r="M73" t="str">
            <v>Y</v>
          </cell>
          <cell r="N73" t="str">
            <v>Y</v>
          </cell>
        </row>
        <row r="74">
          <cell r="A74" t="str">
            <v>10.1.b</v>
          </cell>
          <cell r="E74" t="str">
            <v>Y</v>
          </cell>
          <cell r="F74" t="str">
            <v>N</v>
          </cell>
          <cell r="G74" t="str">
            <v>Y</v>
          </cell>
          <cell r="H74" t="str">
            <v>Y</v>
          </cell>
          <cell r="I74" t="str">
            <v>Y</v>
          </cell>
          <cell r="J74" t="str">
            <v>Y</v>
          </cell>
          <cell r="K74" t="str">
            <v>Y</v>
          </cell>
          <cell r="L74" t="str">
            <v>Y</v>
          </cell>
          <cell r="M74" t="str">
            <v>Y</v>
          </cell>
          <cell r="N74" t="str">
            <v>Y</v>
          </cell>
        </row>
        <row r="75">
          <cell r="A75" t="str">
            <v>10.2</v>
          </cell>
          <cell r="E75" t="str">
            <v>Y</v>
          </cell>
          <cell r="F75" t="str">
            <v>Y</v>
          </cell>
          <cell r="G75" t="str">
            <v>Partial</v>
          </cell>
          <cell r="H75" t="str">
            <v>Partial</v>
          </cell>
          <cell r="I75" t="str">
            <v>Y</v>
          </cell>
          <cell r="J75" t="str">
            <v>Y</v>
          </cell>
          <cell r="K75" t="str">
            <v>Y</v>
          </cell>
          <cell r="L75" t="str">
            <v>Y</v>
          </cell>
          <cell r="M75" t="str">
            <v>Partial</v>
          </cell>
          <cell r="N75" t="str">
            <v>Y</v>
          </cell>
        </row>
        <row r="76">
          <cell r="A76" t="str">
            <v>10.2.a</v>
          </cell>
          <cell r="E76" t="str">
            <v>Y</v>
          </cell>
          <cell r="F76" t="str">
            <v>Y</v>
          </cell>
          <cell r="G76" t="str">
            <v>Y</v>
          </cell>
          <cell r="H76" t="str">
            <v>Y</v>
          </cell>
          <cell r="I76" t="str">
            <v>Y</v>
          </cell>
          <cell r="J76" t="str">
            <v>Y</v>
          </cell>
          <cell r="K76" t="str">
            <v>Y</v>
          </cell>
          <cell r="L76" t="str">
            <v>Y</v>
          </cell>
          <cell r="M76" t="str">
            <v>Y</v>
          </cell>
          <cell r="N76" t="str">
            <v>Y</v>
          </cell>
        </row>
        <row r="77">
          <cell r="A77" t="str">
            <v>10.2.b</v>
          </cell>
          <cell r="E77" t="str">
            <v>Y</v>
          </cell>
          <cell r="F77" t="str">
            <v>Y</v>
          </cell>
          <cell r="G77" t="str">
            <v>N</v>
          </cell>
          <cell r="H77" t="str">
            <v>N</v>
          </cell>
          <cell r="I77" t="str">
            <v>Y</v>
          </cell>
          <cell r="J77" t="str">
            <v>Y</v>
          </cell>
          <cell r="K77" t="str">
            <v>Y</v>
          </cell>
          <cell r="L77" t="str">
            <v>Y</v>
          </cell>
          <cell r="M77" t="str">
            <v>N</v>
          </cell>
          <cell r="N77" t="str">
            <v>Y</v>
          </cell>
        </row>
        <row r="78">
          <cell r="A78">
            <v>11</v>
          </cell>
          <cell r="E78" t="str">
            <v>Not Assessed</v>
          </cell>
          <cell r="F78" t="str">
            <v>Not Assessed</v>
          </cell>
          <cell r="G78" t="str">
            <v>Not Assessed</v>
          </cell>
          <cell r="H78" t="str">
            <v>Not Assessed</v>
          </cell>
          <cell r="I78" t="str">
            <v>Not Assessed</v>
          </cell>
          <cell r="J78" t="str">
            <v>Not Assessed</v>
          </cell>
          <cell r="K78" t="str">
            <v>Not Assessed</v>
          </cell>
          <cell r="L78" t="str">
            <v>Not Assessed</v>
          </cell>
          <cell r="M78" t="str">
            <v>Not Assessed</v>
          </cell>
          <cell r="N78" t="str">
            <v>Not Assessed</v>
          </cell>
        </row>
      </sheetData>
      <sheetData sheetId="6"/>
      <sheetData sheetId="7"/>
      <sheetData sheetId="8"/>
      <sheetData sheetId="9">
        <row r="8">
          <cell r="A8">
            <v>1</v>
          </cell>
          <cell r="B8" t="str">
            <v xml:space="preserve">Net-zero GHG Emissions by 2050 (or sooner) ambition </v>
          </cell>
          <cell r="C8"/>
          <cell r="D8"/>
          <cell r="E8"/>
        </row>
        <row r="9">
          <cell r="A9">
            <v>1.1000000000000001</v>
          </cell>
          <cell r="B9"/>
          <cell r="C9" t="str">
            <v>The company has set an ambition to achieve net zero 
GHG emissions by 2050 or sooner.</v>
          </cell>
          <cell r="D9"/>
          <cell r="E9"/>
        </row>
        <row r="10">
          <cell r="A10" t="str">
            <v>1.1.a</v>
          </cell>
          <cell r="B10"/>
          <cell r="C10"/>
          <cell r="D10" t="str">
            <v>The company has made a qualitative net zero GHG emissions ambition statement that explicitly includes at least 95% of its Scope 1 and 2 emissions</v>
          </cell>
          <cell r="E10" t="str">
            <v>Disclosure</v>
          </cell>
        </row>
        <row r="11">
          <cell r="A11" t="str">
            <v>1.1.b</v>
          </cell>
          <cell r="B11"/>
          <cell r="C11"/>
          <cell r="D11" t="str">
            <v>The company’s net-zero GHG emissions ambition covers the most relevant Scope 3 GHG emissions categories for the company’s sector, where applicable</v>
          </cell>
          <cell r="E11" t="str">
            <v>Disclosure</v>
          </cell>
        </row>
        <row r="12">
          <cell r="A12"/>
          <cell r="B12"/>
          <cell r="C12"/>
          <cell r="D12"/>
          <cell r="E12"/>
        </row>
        <row r="13">
          <cell r="A13">
            <v>2</v>
          </cell>
          <cell r="B13" t="str">
            <v>Long-term (2036-2050) GHG reduction target (s)</v>
          </cell>
          <cell r="C13"/>
          <cell r="D13"/>
          <cell r="E13"/>
        </row>
        <row r="14">
          <cell r="A14">
            <v>2.1</v>
          </cell>
          <cell r="B14"/>
          <cell r="C14" t="str">
            <v>The company has set a target for reducing its GHG emissions by between 2036 and 2050</v>
          </cell>
          <cell r="D14"/>
          <cell r="E14" t="str">
            <v>Disclosure</v>
          </cell>
        </row>
        <row r="15">
          <cell r="A15">
            <v>2.2000000000000002</v>
          </cell>
          <cell r="B15"/>
          <cell r="C15" t="str">
            <v>The company's long-term (2036 to 2050) GHG reduction target covers at least 95% of Scope 1 &amp; 2 emissions and the most relevant Scope 3 emissions (where applicable)</v>
          </cell>
          <cell r="D15"/>
          <cell r="E15"/>
        </row>
        <row r="16">
          <cell r="A16" t="str">
            <v>2.2.a</v>
          </cell>
          <cell r="B16"/>
          <cell r="C16"/>
          <cell r="D16" t="str">
            <v>The company has specified that this target covers at least 95% of its total Scope 1 and 2 emissions</v>
          </cell>
          <cell r="E16" t="str">
            <v>Disclosure</v>
          </cell>
        </row>
        <row r="17">
          <cell r="A17" t="str">
            <v>2.i.a</v>
          </cell>
          <cell r="B17"/>
          <cell r="C17"/>
          <cell r="D17" t="str">
            <v>The operational emissions pathway implied by (2.2a) is aligned with NZ as defined by the relevant sectoral emissions pathway</v>
          </cell>
          <cell r="E17" t="str">
            <v>Alignment</v>
          </cell>
        </row>
        <row r="18">
          <cell r="A18" t="str">
            <v>2.2.b</v>
          </cell>
          <cell r="B18"/>
          <cell r="C18"/>
          <cell r="D18" t="str">
            <v>Where applicable, the company’s Scope 3 GHG emissions target covers at least the most relevant Scope 3 emissions categories for the sector, and the company has published the methodology used to establish the Scope 3 target.</v>
          </cell>
          <cell r="E18" t="str">
            <v>Disclosure</v>
          </cell>
        </row>
        <row r="19">
          <cell r="A19" t="str">
            <v>2.ii.a</v>
          </cell>
          <cell r="B19"/>
          <cell r="C19"/>
          <cell r="D19" t="str">
            <v>The company discloses an upstream emissions target</v>
          </cell>
          <cell r="E19" t="str">
            <v>Disclosure</v>
          </cell>
        </row>
        <row r="20">
          <cell r="A20" t="str">
            <v>2.ii.b</v>
          </cell>
          <cell r="B20"/>
          <cell r="C20"/>
          <cell r="D20" t="str">
            <v xml:space="preserve">The upstream target is in-line or below that of a net zero pathway </v>
          </cell>
          <cell r="E20" t="str">
            <v>Alignment</v>
          </cell>
        </row>
        <row r="21">
          <cell r="A21">
            <v>2.2999999999999998</v>
          </cell>
          <cell r="B21"/>
          <cell r="C21" t="str">
            <v>The company’s last disclosed carbon intensity OR its short-term or medium- term targeted carbon intensity OR the company’s expected carbon intensity derived from its long-term GHG target is aligned with or below the relevant sector trajectory needed to achieve the Paris Agreement goal of limiting global temperature increase to 1.5° Celsius with low or no overshoot in 2050</v>
          </cell>
          <cell r="D21"/>
          <cell r="E21" t="str">
            <v>Alignment</v>
          </cell>
        </row>
        <row r="22">
          <cell r="A22"/>
          <cell r="B22"/>
          <cell r="C22"/>
          <cell r="D22"/>
          <cell r="E22"/>
        </row>
        <row r="23">
          <cell r="A23">
            <v>3</v>
          </cell>
          <cell r="B23" t="str">
            <v>Medium-term (2027 to 2035) GHG reduction target(s)</v>
          </cell>
          <cell r="C23"/>
          <cell r="D23"/>
          <cell r="E23"/>
        </row>
        <row r="24">
          <cell r="A24">
            <v>3.1</v>
          </cell>
          <cell r="B24"/>
          <cell r="C24" t="str">
            <v>The company has set a target for reducing its GHG emissions by between 2027 and 2035</v>
          </cell>
          <cell r="D24"/>
          <cell r="E24" t="str">
            <v>Disclosure</v>
          </cell>
        </row>
        <row r="25">
          <cell r="A25">
            <v>3.2</v>
          </cell>
          <cell r="B25"/>
          <cell r="C25" t="str">
            <v>The company's medium-term (2027 to 2035) GHG reduction target covers at least 95% of Scope 1 &amp; 2 emissions and the most relevant Scope 3 emissions (where applicable)</v>
          </cell>
          <cell r="D25"/>
          <cell r="E25"/>
        </row>
        <row r="26">
          <cell r="A26" t="str">
            <v>3.2.a</v>
          </cell>
          <cell r="B26"/>
          <cell r="C26"/>
          <cell r="D26" t="str">
            <v>The company has specified that this target covers at least 95% of its total Scope 1 and 2 emissions</v>
          </cell>
          <cell r="E26" t="str">
            <v>Disclosure</v>
          </cell>
        </row>
        <row r="27">
          <cell r="A27" t="str">
            <v>3.i.a</v>
          </cell>
          <cell r="B27"/>
          <cell r="C27"/>
          <cell r="D27" t="str">
            <v xml:space="preserve">The operational emissions pathway implied by (3.2a) is aligned with NZ as defined by the relevant sectoral emissions pathway </v>
          </cell>
          <cell r="E27" t="str">
            <v>Alignment</v>
          </cell>
        </row>
        <row r="28">
          <cell r="A28" t="str">
            <v>3.2.b</v>
          </cell>
          <cell r="B28"/>
          <cell r="C28"/>
          <cell r="D28" t="str">
            <v>If the company has set a Scope 3 GHG emissions target, it covers the most relevant Scope 3 emissions categories for the company’s sector (for applicable sectors), and the company has published the methodology used to establish any Scope 3 target</v>
          </cell>
          <cell r="E28" t="str">
            <v>Disclosure</v>
          </cell>
        </row>
        <row r="29">
          <cell r="A29" t="str">
            <v>3.ii.a</v>
          </cell>
          <cell r="B29"/>
          <cell r="C29"/>
          <cell r="D29" t="str">
            <v>The company discloses an upstream emissions target</v>
          </cell>
          <cell r="E29" t="str">
            <v>Disclosure</v>
          </cell>
        </row>
        <row r="30">
          <cell r="A30" t="str">
            <v>3.ii.b</v>
          </cell>
          <cell r="B30"/>
          <cell r="C30"/>
          <cell r="D30" t="str">
            <v xml:space="preserve">The upstream target is in-line or below that of a net zero pathway </v>
          </cell>
          <cell r="E30" t="str">
            <v>Alignment</v>
          </cell>
        </row>
        <row r="31">
          <cell r="A31">
            <v>3.3</v>
          </cell>
          <cell r="B31"/>
          <cell r="C31" t="str">
            <v>The company’s last disclosed carbon intensity OR its short-term targeted carbon intensity target OR the company’s expected carbon intensity derived from their medium-term GHG target is aligned with or below the relevant sector trajectory needed to achieve the Paris Agreement goal of limiting global temperature increase to 1.5° Celsius (equivalent to IPCC Special Report on 1.5° pathway P1 or IEA Net Zero Emissions by 2050 Scenario) with low or no overshoot in 2035</v>
          </cell>
          <cell r="D31"/>
          <cell r="E31" t="str">
            <v>Alignment</v>
          </cell>
        </row>
        <row r="32">
          <cell r="A32">
            <v>3.4</v>
          </cell>
          <cell r="B32"/>
          <cell r="C32" t="str">
            <v>If the company has only set an intensity GHG reduction 
target, it has converted it into corresponding projected 
absolute GHG emissions reductions</v>
          </cell>
          <cell r="D32"/>
          <cell r="E32"/>
        </row>
        <row r="33">
          <cell r="A33" t="str">
            <v>3.ii.a</v>
          </cell>
          <cell r="B33"/>
          <cell r="C33"/>
          <cell r="D33" t="str">
            <v>The reduction implied by (3.4) is in in-line with or below the relevant Net Zero pathway</v>
          </cell>
          <cell r="E33" t="str">
            <v>Alignment</v>
          </cell>
        </row>
        <row r="34">
          <cell r="A34"/>
          <cell r="B34"/>
          <cell r="C34"/>
          <cell r="D34"/>
          <cell r="E34"/>
        </row>
        <row r="35">
          <cell r="A35">
            <v>4</v>
          </cell>
          <cell r="B35" t="str">
            <v xml:space="preserve">Short-term (2023-2026) GHG Reduction Targets </v>
          </cell>
          <cell r="C35"/>
          <cell r="D35"/>
          <cell r="E35"/>
        </row>
        <row r="36">
          <cell r="A36">
            <v>4.0999999999999996</v>
          </cell>
          <cell r="B36"/>
          <cell r="C36" t="str">
            <v>The company has set a target for reducing its GHG emissions by between 2023 and 2026</v>
          </cell>
          <cell r="D36"/>
          <cell r="E36" t="str">
            <v>Disclosure</v>
          </cell>
        </row>
        <row r="37">
          <cell r="A37">
            <v>4.2</v>
          </cell>
          <cell r="B37"/>
          <cell r="C37" t="str">
            <v>The short-term (up to 2026) GHG reduction target covers at least 95% of Scope 1 &amp; 2 emissions and the most relevant Scope 3 emissions (where applicable)</v>
          </cell>
          <cell r="D37"/>
          <cell r="E37"/>
        </row>
        <row r="38">
          <cell r="A38" t="str">
            <v>4.2.a</v>
          </cell>
          <cell r="B38"/>
          <cell r="C38" t="str">
            <v>The company has specified that this target covers at least 95% of its total Scope 1 and 2 emissions</v>
          </cell>
          <cell r="D38"/>
          <cell r="E38" t="str">
            <v>Disclosure</v>
          </cell>
        </row>
        <row r="39">
          <cell r="A39" t="str">
            <v>4.2.b</v>
          </cell>
          <cell r="B39"/>
          <cell r="C39" t="str">
            <v>If the company has set a Scope 3 GHG emissions target, it covers the most relevant Scope 3 emissions categories for the company’s sector (for applicable sectors), and the company has published the methodology used to establish any Scope 3 target</v>
          </cell>
          <cell r="D39"/>
          <cell r="E39" t="str">
            <v>Disclosure</v>
          </cell>
        </row>
        <row r="40">
          <cell r="A40">
            <v>4.3</v>
          </cell>
          <cell r="B40"/>
          <cell r="C40" t="str">
            <v>The company’s last disclosed carbon intensity OR the company’s expected carbon intensity derived from their short-term GHG target is aligned with or below the trajectory (for its respective sector) to achieve the Paris Agreement goal of limiting global temperature increase to 1.5° Celsius with low or no overshoot (equivalent to IPCC Special Report on 1.5° Celsius pathway P1 or net IEA's Net Zero Emissions by 2050 Scenario) in 2026.</v>
          </cell>
          <cell r="D40"/>
          <cell r="E40" t="str">
            <v>Alignment</v>
          </cell>
        </row>
        <row r="41">
          <cell r="A41"/>
          <cell r="B41"/>
          <cell r="C41"/>
          <cell r="D41"/>
          <cell r="E41"/>
        </row>
        <row r="42">
          <cell r="A42">
            <v>5</v>
          </cell>
          <cell r="B42" t="str">
            <v>Decarbonisation Strategy (Target Delivery)</v>
          </cell>
          <cell r="C42"/>
          <cell r="D42"/>
          <cell r="E42"/>
        </row>
        <row r="43">
          <cell r="A43">
            <v>5.0999999999999996</v>
          </cell>
          <cell r="B43"/>
          <cell r="C43" t="str">
            <v>The company has a decarbonisation strategy that explains how it intends to meet its long-and medium-term GHG reduction targets.</v>
          </cell>
          <cell r="D43"/>
          <cell r="E43"/>
        </row>
        <row r="44">
          <cell r="A44" t="str">
            <v>5.1.a</v>
          </cell>
          <cell r="B44"/>
          <cell r="C44"/>
          <cell r="D44" t="str">
            <v>The company identifies the set of actions it intends to take to achieve its medium-and long-term GHG reduction targets over the targeted timeframes. These actions clearly refer to the main sources of the company’s GHG emissions, including Scope 3 emissions where applicable.</v>
          </cell>
          <cell r="E44" t="str">
            <v>Disclosure</v>
          </cell>
        </row>
        <row r="45">
          <cell r="A45" t="str">
            <v>5.1.b</v>
          </cell>
          <cell r="B45"/>
          <cell r="C45"/>
          <cell r="D45" t="str">
            <v>The company quantifies the contribution of individual decarbonisation levers to achieving its medium-and long-term GHG reduction targets, including Scope 3 emissions where applicable (e.g. changing technology or product mix, supply chain measures, R&amp;D spending).</v>
          </cell>
          <cell r="E45" t="str">
            <v>Disclosure</v>
          </cell>
        </row>
        <row r="46">
          <cell r="A46" t="str">
            <v>5.i.a</v>
          </cell>
          <cell r="B46"/>
          <cell r="C46"/>
          <cell r="D46" t="str">
            <v>The quantified contribution of individual decarbonisation levers specified in 5.1.b is shown separately for Long- and Medium-Term targets</v>
          </cell>
          <cell r="E46" t="str">
            <v>Disclosure</v>
          </cell>
        </row>
        <row r="47">
          <cell r="A47" t="str">
            <v>5.i.b</v>
          </cell>
          <cell r="B47"/>
          <cell r="C47"/>
          <cell r="D47" t="str">
            <v>The company has set out a strategy for reaching net zero operational emissions and interim targets that includes the quantification of the major components such as the increasing use of green energy, neutralising measures (eg CCS) and reductions in methane</v>
          </cell>
          <cell r="E47" t="str">
            <v>Disclosure</v>
          </cell>
        </row>
        <row r="48">
          <cell r="A48" t="str">
            <v>5.ii</v>
          </cell>
          <cell r="B48"/>
          <cell r="C48" t="str">
            <v>Neutralisation measures</v>
          </cell>
          <cell r="D48"/>
          <cell r="E48"/>
        </row>
        <row r="49">
          <cell r="A49" t="str">
            <v>5.1.c</v>
          </cell>
          <cell r="B49"/>
          <cell r="C49"/>
          <cell r="D49" t="str">
            <v>If the company chooses to employ offsetting and negative emissions technologies to meet
 its medium- and long-term GHG reduction targets, it discloses the quantity of offsets, type of offsets, offset certification and the negative emissions technologies it is planning to use.</v>
          </cell>
          <cell r="E49" t="str">
            <v>Disclosure</v>
          </cell>
        </row>
        <row r="50">
          <cell r="A50" t="str">
            <v>5.ii.a</v>
          </cell>
          <cell r="B50"/>
          <cell r="C50"/>
          <cell r="D50" t="str">
            <v>The company discloses the total contribution of neutralising measures to the target (in MtCO2e) separately for Long- and Medium-Term Targets</v>
          </cell>
          <cell r="E50" t="str">
            <v>Disclosure</v>
          </cell>
        </row>
        <row r="51">
          <cell r="A51" t="str">
            <v>5.ii.b</v>
          </cell>
          <cell r="B51"/>
          <cell r="C51"/>
          <cell r="D51" t="str">
            <v>The total contribution of neutralising measures is less than 50%</v>
          </cell>
          <cell r="E51" t="str">
            <v>Alignment</v>
          </cell>
        </row>
        <row r="52">
          <cell r="A52" t="str">
            <v>5.ii.c</v>
          </cell>
          <cell r="B52"/>
          <cell r="C52"/>
          <cell r="D52" t="str">
            <v>The company discloses the contribution of CCS to long-term targets in either % or CO2 as appropriate</v>
          </cell>
          <cell r="E52" t="str">
            <v>Disclosure</v>
          </cell>
        </row>
        <row r="53">
          <cell r="A53" t="str">
            <v>5.ii.d</v>
          </cell>
          <cell r="B53"/>
          <cell r="C53"/>
          <cell r="D53" t="str">
            <v>The company discloses the contribution of offsets (nature-based solutions) to long-term emission targets in either % or CO2 as appropriate</v>
          </cell>
          <cell r="E53" t="str">
            <v>Disclosure</v>
          </cell>
        </row>
        <row r="54">
          <cell r="A54" t="str">
            <v>5.ii.e</v>
          </cell>
          <cell r="B54"/>
          <cell r="C54"/>
          <cell r="D54" t="str">
            <v xml:space="preserve">Where the company has mentioned it will rely on other (technology-based) Carbon Dioxide Removal solutions such as BECCS and DACCS to long-term emission targets, it has fully disclosed the contribution of in either % or CO2 as appropriate  </v>
          </cell>
          <cell r="E54" t="str">
            <v>Disclosure</v>
          </cell>
        </row>
        <row r="55">
          <cell r="A55" t="str">
            <v>5.ii.f</v>
          </cell>
          <cell r="B55"/>
          <cell r="C55"/>
          <cell r="D55" t="str">
            <v>The company discloses the contributions of actions by third parties to long-term emission targets in both % or CO2 as appropriate (even when that contribution is zero)</v>
          </cell>
          <cell r="E55" t="str">
            <v>Disclosure</v>
          </cell>
        </row>
        <row r="56">
          <cell r="A56" t="str">
            <v>5.ii.g</v>
          </cell>
          <cell r="B56"/>
          <cell r="C56"/>
          <cell r="D56" t="str">
            <v>The company discloses the contribution of CCS to medium-term targets in either % or CO2 as appropriate</v>
          </cell>
          <cell r="E56" t="str">
            <v>Disclosure</v>
          </cell>
        </row>
        <row r="57">
          <cell r="A57" t="str">
            <v>5.ii.h</v>
          </cell>
          <cell r="B57"/>
          <cell r="C57"/>
          <cell r="D57" t="str">
            <v>The company discloses the contribution of offsets (nature-based solutions) to medium-term emission targets in either % or CO2 as appropriate</v>
          </cell>
          <cell r="E57" t="str">
            <v>Disclosure</v>
          </cell>
        </row>
        <row r="58">
          <cell r="A58" t="str">
            <v>5.ii.i</v>
          </cell>
          <cell r="B58"/>
          <cell r="C58"/>
          <cell r="D58" t="str">
            <v xml:space="preserve">Where the company has mentioned it will rely on other (technology-based) Carbon Dioxide Removal solutions such as BECCS and DACCS to medium-term emission targets, it has fully disclosed the contribution of in either % or CO2 as appropriate  </v>
          </cell>
          <cell r="E58" t="str">
            <v>Disclosure</v>
          </cell>
        </row>
        <row r="59">
          <cell r="A59" t="str">
            <v>5.ii.j</v>
          </cell>
          <cell r="B59"/>
          <cell r="C59"/>
          <cell r="D59" t="str">
            <v>The company discloses the contributions of actions by third parties to medium-term emission targets in both % or CO2 as appropriate (even when that contribution is zero)</v>
          </cell>
          <cell r="E59" t="str">
            <v>Disclosure</v>
          </cell>
        </row>
        <row r="60">
          <cell r="A60" t="str">
            <v>5.ii.k</v>
          </cell>
          <cell r="B60"/>
          <cell r="C60"/>
          <cell r="D60" t="str">
            <v>The company publishes detailed information setting out its offset strategy, specifying the costs ($tonne and total assumptions), accounting approach, type, mix, storage, and provider</v>
          </cell>
          <cell r="E60" t="str">
            <v>Disclosure</v>
          </cell>
        </row>
        <row r="61">
          <cell r="A61" t="str">
            <v>5.ii.l</v>
          </cell>
          <cell r="B61"/>
          <cell r="C61"/>
          <cell r="D61" t="str">
            <v>The company publishes detailed information on all the technology solutions it is planning to deploy (CCUS/BECCS/DACCS) specifying the amount it intends to invest and the expected timing for operational availability</v>
          </cell>
          <cell r="E61" t="str">
            <v>Disclosure</v>
          </cell>
        </row>
        <row r="62">
          <cell r="A62" t="str">
            <v>5.ii.m</v>
          </cell>
          <cell r="B62"/>
          <cell r="C62"/>
          <cell r="D62" t="str">
            <v>The company has clearly set out the actions it is expecting others to take, how it will account for them, etc.</v>
          </cell>
          <cell r="E62" t="str">
            <v>Disclosure</v>
          </cell>
        </row>
        <row r="63">
          <cell r="A63" t="str">
            <v>5.1.d</v>
          </cell>
          <cell r="B63"/>
          <cell r="C63"/>
          <cell r="D63" t="str">
            <v>The company discloses the abatement measures it intends to use that are technologically feasible under current economic  conditions and quantifies the contribution of these  measures to achieving its medium- and long-term GHG  reduction targets.</v>
          </cell>
          <cell r="E63" t="str">
            <v>Disclosure</v>
          </cell>
        </row>
        <row r="64">
          <cell r="A64">
            <v>5.2</v>
          </cell>
          <cell r="B64"/>
          <cell r="C64" t="str">
            <v>The company’s decarbonisation strategy specifies the role of climate solutions (i.e., technologies and  products that will enable the economy to  decarbonise*)</v>
          </cell>
          <cell r="D64"/>
          <cell r="E64"/>
        </row>
        <row r="65">
          <cell r="A65" t="str">
            <v>5.2.a</v>
          </cell>
          <cell r="B65"/>
          <cell r="C65"/>
          <cell r="D65" t="str">
            <v>The company discloses the revenue OR production it already generates from climate solutions and discloses their share in overall sales.</v>
          </cell>
          <cell r="E65" t="str">
            <v>Solutions</v>
          </cell>
        </row>
        <row r="66">
          <cell r="A66" t="str">
            <v>5.2.b</v>
          </cell>
          <cell r="B66"/>
          <cell r="C66"/>
          <cell r="D66" t="str">
            <v xml:space="preserve"> The company has set a target to increase revenue or production from climate solutions in its overall sales.</v>
          </cell>
          <cell r="E66" t="str">
            <v>Solutions</v>
          </cell>
        </row>
        <row r="67">
          <cell r="A67" t="str">
            <v>5.iii</v>
          </cell>
          <cell r="B67"/>
          <cell r="C67" t="str">
            <v>Climate solutions</v>
          </cell>
          <cell r="D67"/>
          <cell r="E67"/>
        </row>
        <row r="68">
          <cell r="A68" t="str">
            <v>5.iii.a</v>
          </cell>
          <cell r="B68"/>
          <cell r="C68"/>
          <cell r="D68" t="str">
            <v>The company has set out a definition of "climate solutions" that it uses to consistently report both investment in low carbon energy production, increases in production capacity, output, and revenues as well as sales of low carbon energy</v>
          </cell>
          <cell r="E68" t="str">
            <v>Solutions</v>
          </cell>
        </row>
        <row r="69">
          <cell r="A69" t="str">
            <v>5.iii.b</v>
          </cell>
          <cell r="B69"/>
          <cell r="C69"/>
          <cell r="D69" t="str">
            <v xml:space="preserve">The definition of "green" excludes unabated fossil fuel-based products and for fuels like hydrogen and bioenergy references emission thresholds consistent with established taxonomies  </v>
          </cell>
          <cell r="E69" t="str">
            <v>Solutions</v>
          </cell>
        </row>
        <row r="70">
          <cell r="A70" t="str">
            <v>5.iii.c</v>
          </cell>
          <cell r="B70"/>
          <cell r="C70"/>
          <cell r="D70" t="str">
            <v>The company has set a target to grow total green energy production (in TJ or KWh, see paragraph 97, from investment in new capacity + long-term PPAs) with at least ST and MT target components and established base year and base year values</v>
          </cell>
          <cell r="E70" t="str">
            <v>Solutions</v>
          </cell>
        </row>
        <row r="71">
          <cell r="A71" t="str">
            <v>5.iii.d</v>
          </cell>
          <cell r="B71"/>
          <cell r="C71"/>
          <cell r="D71" t="str">
            <v>The targeted growth in total green energy production (ST + MT trajectory) is consistent with 1.5° scenario as modelled by the IEA</v>
          </cell>
          <cell r="E71" t="str">
            <v>Solutions</v>
          </cell>
        </row>
        <row r="72">
          <cell r="A72" t="str">
            <v>5.iii.e</v>
          </cell>
          <cell r="B72"/>
          <cell r="C72"/>
          <cell r="D72" t="str">
            <v>The company has set a quantified target (target/base year and values) to grow solar AND/OR wind energy production (measured in TWh or GJ)</v>
          </cell>
          <cell r="E72" t="str">
            <v>Solutions</v>
          </cell>
        </row>
        <row r="73">
          <cell r="A73" t="str">
            <v>5.iii.f</v>
          </cell>
          <cell r="B73"/>
          <cell r="C73"/>
          <cell r="D73" t="str">
            <v>The targeted growth in solar AND/OR wind energy production (ST + MT trajectory) is consistent with IEA's NZE 1.5  scenario</v>
          </cell>
          <cell r="E73" t="str">
            <v>Solutions</v>
          </cell>
        </row>
        <row r="74">
          <cell r="A74" t="str">
            <v>5.iii.g</v>
          </cell>
          <cell r="B74"/>
          <cell r="C74"/>
          <cell r="D74" t="str">
            <v>The company has given guidance on total annual sales of "green energy" (in TJ or TWh) for the year specified in its long-term emissions target (i.e. sales from investing in generation capacity/PPAs or from green energy generated by third parties)</v>
          </cell>
          <cell r="E74" t="str">
            <v>Solutions</v>
          </cell>
        </row>
        <row r="75">
          <cell r="A75" t="str">
            <v>5.iii.h</v>
          </cell>
          <cell r="B75"/>
          <cell r="C75"/>
          <cell r="D75" t="str">
            <v>The company has given guidance on total annual sales of "green energy" (in TJ or TWh) for the year specified in its medium-term emissions target (i.e. sales from investing in generation capacity/PPAs or from green energy generated by third parties)</v>
          </cell>
          <cell r="E75" t="str">
            <v>Solutions</v>
          </cell>
        </row>
        <row r="76">
          <cell r="A76" t="str">
            <v>5.iv</v>
          </cell>
          <cell r="B76"/>
          <cell r="C76" t="str">
            <v>Methane</v>
          </cell>
          <cell r="D76"/>
          <cell r="E76"/>
        </row>
        <row r="77">
          <cell r="A77" t="str">
            <v>5.iv.a</v>
          </cell>
          <cell r="B77"/>
          <cell r="C77"/>
          <cell r="D77" t="str">
            <v>Is a member of OGMP 2.0 and has made a public commitment to the "gold standard" of constant improvements in methane reporting covering all assets in-line with this initiative</v>
          </cell>
          <cell r="E77" t="str">
            <v>Disclosure</v>
          </cell>
        </row>
        <row r="78">
          <cell r="A78" t="str">
            <v>5.iv.b</v>
          </cell>
          <cell r="B78"/>
          <cell r="C78"/>
          <cell r="D78" t="str">
            <v>It has explicitly set out the date when, consistent with OGMP membership commitments (i.e. within three years of it becoming a member), it will publish an independent and externally verified assessment of its methane emissions which integrates direct measurement with estimations (OGMP level 5)</v>
          </cell>
          <cell r="E78" t="str">
            <v>Disclosure</v>
          </cell>
        </row>
        <row r="79">
          <cell r="A79" t="str">
            <v>5.iv.c</v>
          </cell>
          <cell r="B79"/>
          <cell r="C79"/>
          <cell r="D79" t="str">
            <v>Methane emissions are disclosed consistent with OGMP level 5, both on an absolute basis (in metric tonnes) and intensity basis (in tCH4 per PJ of total upstream production). An additional energy-based denominator should be disclosed for mid-stream or distribution companies as appropriate. The denominator of any intensity target should be clearly disclosed</v>
          </cell>
          <cell r="E79" t="str">
            <v>Disclosure</v>
          </cell>
        </row>
        <row r="80">
          <cell r="A80" t="str">
            <v>5.iv.d</v>
          </cell>
          <cell r="B80"/>
          <cell r="C80"/>
          <cell r="D80" t="str">
            <v>The strategy to reduce methane emissions is clearly stated and references the contribution of AND action on emission sources (venting, flaring and leaks), AND prioritisation, AND coverage, AND the use of best available measurement technology</v>
          </cell>
          <cell r="E80" t="str">
            <v>Disclosure</v>
          </cell>
        </row>
        <row r="81">
          <cell r="A81" t="str">
            <v>5.iv.e</v>
          </cell>
          <cell r="B81"/>
          <cell r="C81"/>
          <cell r="D81" t="str">
            <v>The company commits to zero routine flaring by 2030 in line with World Bank and UN initiative [29] and minimise non-routine flaring</v>
          </cell>
          <cell r="E81" t="str">
            <v>Disclosure</v>
          </cell>
        </row>
        <row r="82">
          <cell r="A82" t="str">
            <v>5.iv.f</v>
          </cell>
          <cell r="B82"/>
          <cell r="C82"/>
          <cell r="D82" t="str">
            <v>Company has set a medium-term methane emissions reductions target stating a base year, base year value, target year, target year reduction with both absolute and intensity values and an interim milestone</v>
          </cell>
          <cell r="E82" t="str">
            <v>Disclosure</v>
          </cell>
        </row>
        <row r="83">
          <cell r="A83" t="str">
            <v>5.iv.g</v>
          </cell>
          <cell r="B83"/>
          <cell r="C83"/>
          <cell r="D83" t="str">
            <v>The methane emissions pathway indicated in f) is aligned with the relevant benchmark</v>
          </cell>
          <cell r="E83" t="str">
            <v>Alignment</v>
          </cell>
        </row>
        <row r="84">
          <cell r="A84" t="str">
            <v>5.v</v>
          </cell>
          <cell r="B84"/>
          <cell r="C84" t="str">
            <v>Production</v>
          </cell>
          <cell r="D84"/>
          <cell r="E84"/>
        </row>
        <row r="85">
          <cell r="A85" t="str">
            <v>5.v.a</v>
          </cell>
          <cell r="B85"/>
          <cell r="C85"/>
          <cell r="D85" t="str">
            <v>The company acknowledges the need for substantial reductions in fossil fuel production across the industry by 2050 and that those reductions need to begin before 2030, particularly for oil</v>
          </cell>
          <cell r="E85" t="str">
            <v>Disclosure</v>
          </cell>
        </row>
        <row r="86">
          <cell r="A86" t="str">
            <v>5.v.b</v>
          </cell>
          <cell r="B86"/>
          <cell r="C86"/>
          <cell r="D86" t="str">
            <v>Gives guidance on its annual long-term oil production (for the year specified in its long-term emissions target), expressed either in energy units (boe/TJ) or as a  a % or absolute change from a stated base year value</v>
          </cell>
          <cell r="E86" t="str">
            <v>Disclosure</v>
          </cell>
        </row>
        <row r="87">
          <cell r="A87" t="str">
            <v>5.v.c</v>
          </cell>
          <cell r="B87"/>
          <cell r="C87"/>
          <cell r="D87" t="str">
            <v>Gives guidance on its annual long-term gas production (for the year specified in its long-term emissions target), expressed either in energy units (boe/TJ) or as a  a % or absolute change from a stated base year value</v>
          </cell>
          <cell r="E87" t="str">
            <v>Disclosure</v>
          </cell>
        </row>
        <row r="88">
          <cell r="A88" t="str">
            <v>5.v.d</v>
          </cell>
          <cell r="B88"/>
          <cell r="C88"/>
          <cell r="D88" t="str">
            <v xml:space="preserve">Gives guidance on annual combined long-term oil and gas production (for the year specified in its long-term emissions target), expressed either in energy unites (boe or TJ) or as a % or absolute change from a stated base year value </v>
          </cell>
          <cell r="E88" t="str">
            <v>Disclosure</v>
          </cell>
        </row>
        <row r="89">
          <cell r="A89" t="str">
            <v>5.v.e</v>
          </cell>
          <cell r="B89"/>
          <cell r="C89"/>
          <cell r="D89" t="str">
            <v>Gives guidance on its annual medium-term oil production (for the year specified in its medium-term emissions target), expressed either in energy units (boe/TJ) or as a  a % or absolute change from a stated base year value</v>
          </cell>
          <cell r="E89" t="str">
            <v>Disclosure</v>
          </cell>
        </row>
        <row r="90">
          <cell r="A90" t="str">
            <v>5.v.f</v>
          </cell>
          <cell r="B90"/>
          <cell r="C90"/>
          <cell r="D90" t="str">
            <v>Gives guidance on its annual medium-term gas production (for the year specified in its medium-term emissions target), expressed either in energy units (boe/TJ) or as a  a % or absolute change from a stated base year value</v>
          </cell>
          <cell r="E90" t="str">
            <v>Disclosure</v>
          </cell>
        </row>
        <row r="91">
          <cell r="A91" t="str">
            <v>5.v.g</v>
          </cell>
          <cell r="B91"/>
          <cell r="C91"/>
          <cell r="D91" t="str">
            <v xml:space="preserve">Gives guidance on annual combined medium-term oil and gas production (for the year specified in its long-term emissions target), expressed either in energy unites (boe or TJ) or as a % or absolute change from a stated base year value </v>
          </cell>
          <cell r="E91" t="str">
            <v>Disclosure</v>
          </cell>
        </row>
        <row r="92">
          <cell r="A92" t="str">
            <v>5.v.h</v>
          </cell>
          <cell r="B92"/>
          <cell r="C92"/>
          <cell r="D92" t="str">
            <v xml:space="preserve">Is the long-term production plan for oil consistent with the IEA NZE (-22% by 2030 and -78% by 2050 from 2019 levels) </v>
          </cell>
          <cell r="E92" t="str">
            <v>Alignment</v>
          </cell>
        </row>
        <row r="93">
          <cell r="A93" t="str">
            <v>5.v.i</v>
          </cell>
          <cell r="B93"/>
          <cell r="C93"/>
          <cell r="D93" t="str">
            <v>Is the long-term production plan for gas consistent with the IEA NZE (-15% by 2030 and -77% by 2050 from 2019 levels)</v>
          </cell>
          <cell r="E93" t="str">
            <v>Alignment</v>
          </cell>
        </row>
        <row r="94">
          <cell r="A94" t="str">
            <v>5.v.j</v>
          </cell>
          <cell r="B94"/>
          <cell r="C94"/>
          <cell r="D94" t="str">
            <v>Is the long-term combined annual production plan for gas and oil consistent with the IEA NZE (-19% by 2030 and  -77% by 2050 from 2019 levels, assuming a 50% split)</v>
          </cell>
          <cell r="E94" t="str">
            <v>Alignment</v>
          </cell>
        </row>
        <row r="95">
          <cell r="A95" t="str">
            <v>5.v.k</v>
          </cell>
          <cell r="B95"/>
          <cell r="C95"/>
          <cell r="D95" t="str">
            <v xml:space="preserve">Is the medium-term production plan for oil consistent with the IEA NZE  (-22% by 2030 and -78% by 2050 from 2019 levels) </v>
          </cell>
          <cell r="E95" t="str">
            <v>Alignment</v>
          </cell>
        </row>
        <row r="96">
          <cell r="A96" t="str">
            <v>5.v.l</v>
          </cell>
          <cell r="B96"/>
          <cell r="C96"/>
          <cell r="D96" t="str">
            <v>Is the medium-term production plan for gas consistent with the IEA NZE (-15% by 2030 and -77% by 2050 from 2019 levels)</v>
          </cell>
          <cell r="E96" t="str">
            <v>Alignment</v>
          </cell>
        </row>
        <row r="97">
          <cell r="A97" t="str">
            <v>5.v.m</v>
          </cell>
          <cell r="B97"/>
          <cell r="C97"/>
          <cell r="D97" t="str">
            <v>Is the medium-term combined annual production plan for gas and oil consistent with the IEA NZE (-19% by 2030 and -77% by 2050 from 2019 levels, assuming a 50% split)</v>
          </cell>
          <cell r="E97" t="str">
            <v>Alignment</v>
          </cell>
        </row>
        <row r="98">
          <cell r="A98" t="str">
            <v>5.v.n</v>
          </cell>
          <cell r="B98"/>
          <cell r="C98"/>
          <cell r="D98" t="str">
            <v>If either 5.v.h-m are No, has the company given a reason?</v>
          </cell>
          <cell r="E98" t="str">
            <v>Disclosure</v>
          </cell>
        </row>
        <row r="99">
          <cell r="A99" t="str">
            <v>5.v.o</v>
          </cell>
          <cell r="B99"/>
          <cell r="C99"/>
          <cell r="D99" t="str">
            <v xml:space="preserve">If the oil pathway is not aligned with NZE (5.v.j/m is No) the company has stated an average breakeven cost of its currently sanctioned oil production ($ per barrel) </v>
          </cell>
          <cell r="E99" t="str">
            <v>Disclosure</v>
          </cell>
        </row>
        <row r="100">
          <cell r="A100" t="str">
            <v>5.v.p</v>
          </cell>
          <cell r="B100"/>
          <cell r="C100"/>
          <cell r="D100" t="str">
            <v>The average breakeven cost of its currently sanctioned Oil production ($ per barrel) is consistent with a net zero scenario</v>
          </cell>
          <cell r="E100" t="str">
            <v>Alignment</v>
          </cell>
        </row>
        <row r="101">
          <cell r="A101" t="str">
            <v>5.v.q</v>
          </cell>
          <cell r="B101"/>
          <cell r="C101"/>
          <cell r="D101" t="str">
            <v>If the gas pathway is not aligned with NZE (5.v.i or 5.v.l is No) has the company given guidance on an average breakeven cost of its currently sanctioned gas production ($ per barrel) including a relevant regional breakdown</v>
          </cell>
          <cell r="E101" t="str">
            <v>Disclosure</v>
          </cell>
        </row>
        <row r="102">
          <cell r="A102" t="str">
            <v>5.v.r</v>
          </cell>
          <cell r="B102"/>
          <cell r="C102"/>
          <cell r="D102" t="str">
            <v>The average breakeven cost of its currently sanctioned gas production ($ per barrel) is consistent with a net zero scenario</v>
          </cell>
          <cell r="E102" t="str">
            <v>Alignment</v>
          </cell>
        </row>
        <row r="103">
          <cell r="A103"/>
          <cell r="B103"/>
          <cell r="C103"/>
          <cell r="D103"/>
          <cell r="E103"/>
        </row>
        <row r="104">
          <cell r="A104">
            <v>6</v>
          </cell>
          <cell r="B104" t="str">
            <v>Capital Alignment</v>
          </cell>
          <cell r="C104"/>
          <cell r="D104"/>
          <cell r="E104"/>
        </row>
        <row r="105">
          <cell r="A105">
            <v>6.1</v>
          </cell>
          <cell r="B105"/>
          <cell r="C105" t="str">
            <v>The company is working to decarbonise its capital expenditures.</v>
          </cell>
          <cell r="D105"/>
          <cell r="E105" t="str">
            <v>Disclosure</v>
          </cell>
        </row>
        <row r="106">
          <cell r="A106" t="str">
            <v>6.1.a</v>
          </cell>
          <cell r="B106"/>
          <cell r="C106"/>
          <cell r="D106" t="str">
            <v>The company explicitly states that it has phased out or is planning to phase out capital expenditure in new unabated carbon-intensive assets or products by a specified year</v>
          </cell>
          <cell r="E106" t="str">
            <v>Disclosure</v>
          </cell>
        </row>
        <row r="107">
          <cell r="A107" t="str">
            <v>6.1.b</v>
          </cell>
          <cell r="B107"/>
          <cell r="C107"/>
          <cell r="D107" t="str">
            <v>The company discloses the amount of its capital expenditures that is going towards unabated carbon-intensive assets or products.</v>
          </cell>
          <cell r="E107" t="str">
            <v>Disclosure</v>
          </cell>
        </row>
        <row r="108">
          <cell r="A108" t="str">
            <v>6.i</v>
          </cell>
          <cell r="B108"/>
          <cell r="C108" t="str">
            <v>Fossil fuel capex</v>
          </cell>
          <cell r="D108"/>
          <cell r="E108"/>
        </row>
        <row r="109">
          <cell r="A109" t="str">
            <v>6.i.a</v>
          </cell>
          <cell r="B109"/>
          <cell r="C109"/>
          <cell r="D109" t="str">
            <v>The company discloses total group capex in both the last financial year and a forward-looking guidance (minimum 3 years ahead and specifying the number of years included)</v>
          </cell>
          <cell r="E109" t="str">
            <v>Disclosure</v>
          </cell>
        </row>
        <row r="110">
          <cell r="A110" t="str">
            <v>6.i.b</v>
          </cell>
          <cell r="B110"/>
          <cell r="C110"/>
          <cell r="D110" t="str">
            <v>The company discloses capex in all fossil fuel activities in both the last financial year and a forward-looking guidance (minimum 3 years ahead)</v>
          </cell>
          <cell r="E110" t="str">
            <v>Disclosure</v>
          </cell>
        </row>
        <row r="111">
          <cell r="A111" t="str">
            <v>6.i.c</v>
          </cell>
          <cell r="B111"/>
          <cell r="C111"/>
          <cell r="D111" t="str">
            <v xml:space="preserve">The company discloses upstream oil and gas capex in the last financial year and a forward-looking guidance (minimum 3 years ahead) </v>
          </cell>
          <cell r="E111" t="str">
            <v>Disclosure</v>
          </cell>
        </row>
        <row r="112">
          <cell r="A112" t="str">
            <v>6.i.d</v>
          </cell>
          <cell r="B112"/>
          <cell r="C112"/>
          <cell r="D112" t="str">
            <v xml:space="preserve">The company discloses exploration capex (i.e. non-maintenance of existing oil and gas facilities) in the last financial year and a forward-looking guidance (minimum three years ahead). </v>
          </cell>
          <cell r="E112" t="str">
            <v>Disclosure</v>
          </cell>
        </row>
        <row r="113">
          <cell r="A113" t="str">
            <v>6.i.e</v>
          </cell>
          <cell r="B113"/>
          <cell r="C113"/>
          <cell r="D113" t="str">
            <v xml:space="preserve">If production decline is not consistent with IEA NZE the company discloses current and forward-looking guidance on long-lived greenfield capex  </v>
          </cell>
          <cell r="E113" t="str">
            <v>Disclosure</v>
          </cell>
        </row>
        <row r="114">
          <cell r="A114" t="str">
            <v>6.i.f</v>
          </cell>
          <cell r="B114"/>
          <cell r="C114"/>
          <cell r="D114" t="str">
            <v>If reductions in oil production (if either 5.v.h or 5.v.k is scored as "No") are not consistent with IEA NZE, the company has disclosed the estimated breakeven cost of all pre final investment decision (FID) oil pipeline ranked by cost</v>
          </cell>
          <cell r="E114" t="str">
            <v>Disclosure</v>
          </cell>
        </row>
        <row r="115">
          <cell r="A115" t="str">
            <v>6.i.g</v>
          </cell>
          <cell r="B115"/>
          <cell r="C115"/>
          <cell r="D115" t="str">
            <v>Is the pre-FID oil pipeline ranked by cost sufficiently low cost?</v>
          </cell>
          <cell r="E115" t="str">
            <v>Alignment</v>
          </cell>
        </row>
        <row r="116">
          <cell r="A116" t="str">
            <v>6.i.h</v>
          </cell>
          <cell r="B116"/>
          <cell r="C116"/>
          <cell r="D116" t="str">
            <v>If reductions in gas production are not consistent with IEA NZE (if either 5.v.i or 5.v.l is scored as "No"), the company has disclosed the estimated breakevem cost of all pre FID gas pipeline ranked by cost</v>
          </cell>
          <cell r="E116" t="str">
            <v>Disclosure</v>
          </cell>
        </row>
        <row r="117">
          <cell r="A117" t="str">
            <v>6.i.i</v>
          </cell>
          <cell r="B117"/>
          <cell r="C117"/>
          <cell r="D117" t="str">
            <v>Is the pre-FID gas pipeline ranked by cost sufficiently low cost?</v>
          </cell>
          <cell r="E117" t="str">
            <v>Alignment</v>
          </cell>
        </row>
        <row r="118">
          <cell r="A118">
            <v>6.2</v>
          </cell>
          <cell r="B118"/>
          <cell r="C118" t="str">
            <v xml:space="preserve"> The company explains how it intends to invest in climate solutions (i.e., technologies and products that will enable the economy to decarbonise)</v>
          </cell>
          <cell r="D118"/>
          <cell r="E118" t="str">
            <v>Disclosure</v>
          </cell>
        </row>
        <row r="119">
          <cell r="A119" t="str">
            <v>6.2.a</v>
          </cell>
          <cell r="B119"/>
          <cell r="C119"/>
          <cell r="D119" t="str">
            <v>The company discloses the stated value of capital expenditures allocated towards climate solutions in the last reporting year</v>
          </cell>
          <cell r="E119" t="str">
            <v>Disclosure</v>
          </cell>
        </row>
        <row r="120">
          <cell r="A120" t="str">
            <v>6.2.b</v>
          </cell>
          <cell r="B120"/>
          <cell r="C120"/>
          <cell r="D120" t="str">
            <v>The company discloses the stated value of capital expenditures it intends to allocate to climate solutions in the future</v>
          </cell>
          <cell r="E120" t="str">
            <v>Disclosure</v>
          </cell>
        </row>
        <row r="121">
          <cell r="A121" t="str">
            <v>6.ii</v>
          </cell>
          <cell r="B121"/>
          <cell r="C121" t="str">
            <v>Green investment</v>
          </cell>
          <cell r="D121"/>
          <cell r="E121"/>
        </row>
        <row r="122">
          <cell r="A122" t="str">
            <v>6.ii.a</v>
          </cell>
          <cell r="B122"/>
          <cell r="C122"/>
          <cell r="D122" t="str">
            <v>The company discloses total investment in “green” energy production in both the last financial year and a forward-looking guidance (minimum three years ahead) where “green” is clearly defined and consistent with the one used in indicator 5</v>
          </cell>
          <cell r="E122" t="str">
            <v>Solutions</v>
          </cell>
        </row>
        <row r="123">
          <cell r="A123" t="str">
            <v>6.ii.b</v>
          </cell>
          <cell r="B123"/>
          <cell r="C123"/>
          <cell r="D123" t="str">
            <v>The company discloses a target to increase PV (or combined PV / wind) generation capacity from a stated base year and value</v>
          </cell>
          <cell r="E123" t="str">
            <v>Solutions</v>
          </cell>
        </row>
        <row r="124">
          <cell r="A124" t="str">
            <v>6.ii.c</v>
          </cell>
          <cell r="B124"/>
          <cell r="C124"/>
          <cell r="D124" t="str">
            <v>The company discloses a target to increase wind generation capacity from a stated base year and value</v>
          </cell>
          <cell r="E124" t="str">
            <v>Solutions</v>
          </cell>
        </row>
        <row r="125">
          <cell r="A125" t="str">
            <v>6.ii.d</v>
          </cell>
          <cell r="B125"/>
          <cell r="C125"/>
          <cell r="D125" t="str">
            <v>The company discloses a target to increase biofuel production from a specified base year and value</v>
          </cell>
          <cell r="E125" t="str">
            <v>Solutions</v>
          </cell>
        </row>
        <row r="126">
          <cell r="A126" t="str">
            <v>6.ii.e</v>
          </cell>
          <cell r="B126"/>
          <cell r="C126"/>
          <cell r="D126" t="str">
            <v>The company discloses target to increase low-carbon hydrogen production from a specified base year and value</v>
          </cell>
          <cell r="E126" t="str">
            <v>Solutions</v>
          </cell>
        </row>
        <row r="127">
          <cell r="A127" t="str">
            <v>6.ii.f</v>
          </cell>
          <cell r="B127"/>
          <cell r="C127"/>
          <cell r="D127" t="str">
            <v>Is the PV (/blended PV/Wind) capacity target consistent w/IEA NZE?</v>
          </cell>
          <cell r="E127" t="str">
            <v>Solutions</v>
          </cell>
        </row>
        <row r="128">
          <cell r="A128" t="str">
            <v>6.ii.g</v>
          </cell>
          <cell r="B128"/>
          <cell r="C128"/>
          <cell r="D128" t="str">
            <v>Is the wind production capacity target (6.iii.c) consistent w/IEA NZE?</v>
          </cell>
          <cell r="E128" t="str">
            <v>Solutions</v>
          </cell>
        </row>
        <row r="129">
          <cell r="A129" t="str">
            <v>6.ii.h</v>
          </cell>
          <cell r="B129"/>
          <cell r="C129"/>
          <cell r="D129" t="str">
            <v>Is the biofuel capacity target (6.iii.d) consistent w/IEA NZE?</v>
          </cell>
          <cell r="E129" t="str">
            <v>Solutions</v>
          </cell>
        </row>
        <row r="130">
          <cell r="A130" t="str">
            <v>6.ii.i</v>
          </cell>
          <cell r="B130"/>
          <cell r="C130"/>
          <cell r="D130" t="str">
            <v>Is the low-carbon hydrogen capacity target (6.iii.e) consistent w/IEA NZE?</v>
          </cell>
          <cell r="E130" t="str">
            <v>Solutions</v>
          </cell>
        </row>
        <row r="131">
          <cell r="A131" t="str">
            <v>6.iii</v>
          </cell>
          <cell r="B131"/>
          <cell r="C131" t="str">
            <v>Decarbonisation capex</v>
          </cell>
          <cell r="D131"/>
          <cell r="E131"/>
        </row>
        <row r="132">
          <cell r="A132" t="str">
            <v>6.iii.a</v>
          </cell>
          <cell r="B132"/>
          <cell r="C132"/>
          <cell r="D132" t="str">
            <v>The company discloses investment (including any capitalised R&amp;D) in all appropriate abatement technology in most recent financial year and a forward-looking guidance (min. 3 yrs ahead)</v>
          </cell>
          <cell r="E132" t="str">
            <v>Disclosure</v>
          </cell>
        </row>
        <row r="133">
          <cell r="A133" t="str">
            <v>6.iii.b</v>
          </cell>
          <cell r="B133"/>
          <cell r="C133"/>
          <cell r="D133" t="str">
            <v xml:space="preserve">The company discloses the total current abatement capacity and expected capacity at the end of the investment (such that the increase can be calculated) </v>
          </cell>
          <cell r="E133" t="str">
            <v>Disclosure</v>
          </cell>
        </row>
        <row r="134">
          <cell r="A134"/>
          <cell r="B134"/>
          <cell r="C134"/>
          <cell r="D134"/>
          <cell r="E134"/>
        </row>
        <row r="135">
          <cell r="A135"/>
          <cell r="B135"/>
          <cell r="C135"/>
          <cell r="D135"/>
          <cell r="E135"/>
        </row>
        <row r="136">
          <cell r="A136">
            <v>7</v>
          </cell>
          <cell r="B136" t="str">
            <v xml:space="preserve">Climate Policy engagement </v>
          </cell>
          <cell r="C136"/>
          <cell r="D136"/>
          <cell r="E136"/>
        </row>
        <row r="137">
          <cell r="A137">
            <v>7.1</v>
          </cell>
          <cell r="B137"/>
          <cell r="C137" t="str">
            <v>The company commits to conducting its policy engagement activities in accordance with the goals of the Paris Agreement.</v>
          </cell>
          <cell r="D137"/>
          <cell r="E137" t="str">
            <v>Disclosure</v>
          </cell>
        </row>
        <row r="138">
          <cell r="A138" t="str">
            <v>7.1.a</v>
          </cell>
          <cell r="B138"/>
          <cell r="C138"/>
          <cell r="D138" t="str">
            <v>The company has a specific public commitment/position statement to conduct all of its lobbying in line with the goals of the Paris Agreement</v>
          </cell>
          <cell r="E138" t="str">
            <v>Disclosure</v>
          </cell>
        </row>
        <row r="139">
          <cell r="A139" t="str">
            <v>7.1.b</v>
          </cell>
          <cell r="B139"/>
          <cell r="C139"/>
          <cell r="D139" t="str">
            <v>The company commits to advocate for Paris-aligned lobbying within the trade associations of which it is a member</v>
          </cell>
          <cell r="E139" t="str">
            <v>Disclosure</v>
          </cell>
        </row>
        <row r="140">
          <cell r="A140" t="str">
            <v>7.1.c</v>
          </cell>
          <cell r="B140"/>
          <cell r="C140"/>
          <cell r="D140" t="str">
            <v>The company’s public commitment/position statement to conduct all of its own lobbying in line with the goals of the Paris Agreement specifies the goal of restricting global temperature rise to 1.5⁰C above pre-industrial levels</v>
          </cell>
          <cell r="E140" t="str">
            <v>Disclosure</v>
          </cell>
        </row>
        <row r="141">
          <cell r="A141">
            <v>7.2</v>
          </cell>
          <cell r="B141"/>
          <cell r="C141" t="str">
            <v xml:space="preserve"> The company reviews its own and its trade associations’ climate policy engagement positions / activities.</v>
          </cell>
          <cell r="D141"/>
          <cell r="E141" t="str">
            <v>Disclosure</v>
          </cell>
        </row>
        <row r="142">
          <cell r="A142" t="str">
            <v>7.2.a</v>
          </cell>
          <cell r="B142"/>
          <cell r="C142"/>
          <cell r="D142" t="str">
            <v>The company publishes a review of its climate policy positions' alignment with the Paris Agreement goals, and discloses how it has advocated for them through its own climate policy engagement activities</v>
          </cell>
          <cell r="E142" t="str">
            <v>Disclosure</v>
          </cell>
        </row>
        <row r="143">
          <cell r="A143" t="str">
            <v>7.2.b</v>
          </cell>
          <cell r="B143"/>
          <cell r="C143"/>
          <cell r="D143" t="str">
            <v>The company publishes a review of its trade associations’ climate positions / alignment with the Paris Agreement and discloses what actions it took as a result.</v>
          </cell>
          <cell r="E143" t="str">
            <v>Disclosure</v>
          </cell>
        </row>
        <row r="144">
          <cell r="A144"/>
          <cell r="B144"/>
          <cell r="C144"/>
          <cell r="D144"/>
          <cell r="E144"/>
        </row>
        <row r="145">
          <cell r="A145">
            <v>8</v>
          </cell>
          <cell r="B145" t="str">
            <v xml:space="preserve">Climate Governance </v>
          </cell>
          <cell r="C145"/>
          <cell r="D145"/>
          <cell r="E145"/>
        </row>
        <row r="146">
          <cell r="A146">
            <v>8.1</v>
          </cell>
          <cell r="B146"/>
          <cell r="C146" t="str">
            <v>The company’s board has clear oversight of climate change</v>
          </cell>
          <cell r="D146"/>
          <cell r="E146" t="str">
            <v>Disclosure</v>
          </cell>
        </row>
        <row r="147">
          <cell r="A147" t="str">
            <v>8.1.a</v>
          </cell>
          <cell r="B147"/>
          <cell r="C147"/>
          <cell r="D147" t="str">
            <v>The company discloses evidence of board or board committee oversight of the management of climate change risks</v>
          </cell>
          <cell r="E147" t="str">
            <v>Disclosure</v>
          </cell>
        </row>
        <row r="148">
          <cell r="A148" t="str">
            <v>8.1.b</v>
          </cell>
          <cell r="B148"/>
          <cell r="C148"/>
          <cell r="D148" t="str">
            <v>The company has named a position at the board level with responsibility for climate change</v>
          </cell>
          <cell r="E148" t="str">
            <v>Disclosure</v>
          </cell>
        </row>
        <row r="149">
          <cell r="A149">
            <v>8.1999999999999993</v>
          </cell>
          <cell r="B149"/>
          <cell r="C149" t="str">
            <v>The company’s executive remuneration scheme incorporates climate change performance elements</v>
          </cell>
          <cell r="D149"/>
          <cell r="E149" t="str">
            <v>Disclosure</v>
          </cell>
        </row>
        <row r="150">
          <cell r="A150" t="str">
            <v>8.2.a</v>
          </cell>
          <cell r="B150"/>
          <cell r="C150"/>
          <cell r="D150" t="str">
            <v>The company’s CEO and/or at least one other senior executive’s remuneration arrangements specifically incorporate climate change performance as a KPI determining performance-linked compensation (reference to ‘ESG’ or ‘sustainability performance’ are insufficient)</v>
          </cell>
          <cell r="E150" t="str">
            <v>Disclosure</v>
          </cell>
        </row>
        <row r="151">
          <cell r="A151" t="str">
            <v>8.2.b</v>
          </cell>
          <cell r="B151"/>
          <cell r="C151"/>
          <cell r="D151" t="str">
            <v>The company’s CEO and/or at least one other senior executive’s remuneration arrangements incorporate progress towards achieving the company’s GHG reduction targets as a KPI determining performance linked compensation (requires meeting relevant target indicators 2, 3, and/or 4)</v>
          </cell>
          <cell r="E151" t="str">
            <v>Disclosure</v>
          </cell>
        </row>
        <row r="152">
          <cell r="A152">
            <v>8.3000000000000007</v>
          </cell>
          <cell r="B152"/>
          <cell r="C152" t="str">
            <v>The Board has sufficient capabilities/competencies to assess and manage climate-related risks and opportunities</v>
          </cell>
          <cell r="D152"/>
          <cell r="E152" t="str">
            <v>Disclosure</v>
          </cell>
        </row>
        <row r="153">
          <cell r="A153" t="str">
            <v>8.3.a</v>
          </cell>
          <cell r="B153"/>
          <cell r="C153"/>
          <cell r="D153" t="str">
            <v>The company has assessed its board competencies with respect to managing climate risks and opportunities and discloses the results of the assessment</v>
          </cell>
          <cell r="E153" t="str">
            <v>Disclosure</v>
          </cell>
        </row>
        <row r="154">
          <cell r="A154" t="str">
            <v>8.3.b</v>
          </cell>
          <cell r="B154"/>
          <cell r="C154"/>
          <cell r="D154" t="str">
            <v>The company provides details on the criteria it uses to assess the board competencies with respect to managing climate risks and opportunities and the measures it is taking to enhance these competencies</v>
          </cell>
          <cell r="E154" t="str">
            <v>Disclosure</v>
          </cell>
        </row>
        <row r="155">
          <cell r="A155"/>
          <cell r="B155"/>
          <cell r="C155"/>
          <cell r="D155"/>
          <cell r="E155"/>
        </row>
        <row r="156">
          <cell r="A156">
            <v>9</v>
          </cell>
          <cell r="B156" t="str">
            <v xml:space="preserve">Just Transition </v>
          </cell>
          <cell r="C156"/>
          <cell r="D156"/>
          <cell r="E156"/>
        </row>
        <row r="157">
          <cell r="A157">
            <v>9.1</v>
          </cell>
          <cell r="B157"/>
          <cell r="C157" t="str">
            <v>The company has committed to the principles of a Just
 Transition.</v>
          </cell>
          <cell r="D157"/>
          <cell r="E157" t="str">
            <v>Disclosure</v>
          </cell>
        </row>
        <row r="158">
          <cell r="A158" t="str">
            <v>9.1.a</v>
          </cell>
          <cell r="B158"/>
          <cell r="C158"/>
          <cell r="D158" t="str">
            <v>The company has committed to  decarbonise in line with defined Just Transition principles, recognising the social impacts of its decarbonisation efforts.</v>
          </cell>
          <cell r="E158" t="str">
            <v>Disclosure</v>
          </cell>
        </row>
        <row r="159">
          <cell r="A159" t="str">
            <v>9.1.b</v>
          </cell>
          <cell r="B159"/>
          <cell r="C159"/>
          <cell r="D159" t="str">
            <v>The company has committed to retain, retrain, redeploy and/or compensate workers affected by  its decarbonisation efforts</v>
          </cell>
          <cell r="E159" t="str">
            <v>Disclosure</v>
          </cell>
        </row>
        <row r="160">
          <cell r="A160" t="str">
            <v>9.1.c</v>
          </cell>
          <cell r="B160"/>
          <cell r="C160"/>
          <cell r="D160" t="str">
            <v>The company has committed that new projects associated with its decarbonisation efforts are developed in consultation with affected communities and seek their consent</v>
          </cell>
          <cell r="E160" t="str">
            <v>Disclosure</v>
          </cell>
        </row>
        <row r="161">
          <cell r="A161">
            <v>9.1999999999999993</v>
          </cell>
          <cell r="B161"/>
          <cell r="C161" t="str">
            <v>The company has disclosed how it is planning for and monitoring progress towards a Just Transition</v>
          </cell>
          <cell r="D161"/>
          <cell r="E161" t="str">
            <v>Disclosure</v>
          </cell>
        </row>
        <row r="162">
          <cell r="A162" t="str">
            <v>9.2.a</v>
          </cell>
          <cell r="B162"/>
          <cell r="C162"/>
          <cell r="D162" t="str">
            <v>The company has developed a Just Transition plan for how it aims to support workers and communities negatively affected by its decarbonisation efforts</v>
          </cell>
          <cell r="E162" t="str">
            <v>Disclosure</v>
          </cell>
        </row>
        <row r="163">
          <cell r="A163" t="str">
            <v>9.2.b</v>
          </cell>
          <cell r="B163"/>
          <cell r="C163"/>
          <cell r="D163" t="str">
            <v>The company’s Just Transition plan was developed in consultation with workers, communities and other key stakeholders affected by its decarbonisation strategy</v>
          </cell>
          <cell r="E163" t="str">
            <v>Disclosure</v>
          </cell>
        </row>
        <row r="164">
          <cell r="A164" t="str">
            <v>9.2.c</v>
          </cell>
          <cell r="B164"/>
          <cell r="C164"/>
          <cell r="D164" t="str">
            <v>The company discloses the quantified Key Performance Indicators it uses to track its progress towards  the objectives of its Just Transition plan</v>
          </cell>
          <cell r="E164" t="str">
            <v>Disclosure</v>
          </cell>
        </row>
        <row r="165">
          <cell r="A165"/>
          <cell r="B165"/>
          <cell r="C165"/>
          <cell r="D165"/>
          <cell r="E165"/>
        </row>
        <row r="166">
          <cell r="A166">
            <v>10</v>
          </cell>
          <cell r="B166" t="str">
            <v xml:space="preserve">TCFD disclosure </v>
          </cell>
          <cell r="C166"/>
          <cell r="D166"/>
          <cell r="E166"/>
        </row>
        <row r="167">
          <cell r="A167">
            <v>10.1</v>
          </cell>
          <cell r="B167"/>
          <cell r="C167" t="str">
            <v>The company has publicly committed to implement the recommendations of the Task Force on Climate related Financial Disclosures (TCFD)</v>
          </cell>
          <cell r="D167"/>
          <cell r="E167" t="str">
            <v>Disclosure</v>
          </cell>
        </row>
        <row r="168">
          <cell r="A168" t="str">
            <v>10.1.a</v>
          </cell>
          <cell r="B168"/>
          <cell r="C168" t="str">
            <v>The company explicitly commits to align its disclosures with the TCFD recommendations OR it is listed as a supporter on the TCFD website</v>
          </cell>
          <cell r="D168"/>
          <cell r="E168" t="str">
            <v>Disclosure</v>
          </cell>
        </row>
        <row r="169">
          <cell r="A169" t="str">
            <v>10.1.b</v>
          </cell>
          <cell r="B169"/>
          <cell r="C169" t="str">
            <v>The company explicitly sign-posts TCFD aligned disclosures in its annual reporting or publishes them in a TCFD report</v>
          </cell>
          <cell r="D169"/>
          <cell r="E169" t="str">
            <v>Disclosure</v>
          </cell>
        </row>
        <row r="170">
          <cell r="A170">
            <v>10.199999999999999</v>
          </cell>
          <cell r="B170"/>
          <cell r="C170" t="str">
            <v>The company employs climate-scenario planning to test its strategic and operational resilience</v>
          </cell>
          <cell r="D170"/>
          <cell r="E170" t="str">
            <v>Disclosure</v>
          </cell>
        </row>
        <row r="171">
          <cell r="A171" t="str">
            <v>10.2.a</v>
          </cell>
          <cell r="B171"/>
          <cell r="C171" t="str">
            <v>The company has conducted a climate-related scenario analysis including quantitative elements and disclosed its results</v>
          </cell>
          <cell r="D171"/>
          <cell r="E171" t="str">
            <v>Disclosure</v>
          </cell>
        </row>
        <row r="172">
          <cell r="A172" t="str">
            <v>10.2.b</v>
          </cell>
          <cell r="B172"/>
          <cell r="C172" t="str">
            <v>The quantitative scenario analysis explicitly includes a 1.5° Celsius scenario, covers the entire company, discloses key assumptions and variables used, and reports on the key risks and opportunities identified</v>
          </cell>
          <cell r="D172"/>
          <cell r="E172" t="str">
            <v>Disclosure</v>
          </cell>
        </row>
        <row r="173">
          <cell r="A173" t="str">
            <v>10.i</v>
          </cell>
          <cell r="B173"/>
          <cell r="C173" t="str">
            <v>Energy disclosure</v>
          </cell>
          <cell r="D173"/>
          <cell r="E173"/>
        </row>
        <row r="174">
          <cell r="A174" t="str">
            <v>10.i.a</v>
          </cell>
          <cell r="B174"/>
          <cell r="C174"/>
          <cell r="D174" t="str">
            <v xml:space="preserve">Disclose all externally sold energy. This should be a comprehensive metric covering all forms of energy sales on both an equity and operational boundary and on a primary basis with no fossil fuel equivalent (FFE) adjustments and exclude non-energy and financial trading. </v>
          </cell>
          <cell r="E174" t="str">
            <v>Disclosure</v>
          </cell>
        </row>
        <row r="175">
          <cell r="A175" t="str">
            <v>10.i.b</v>
          </cell>
          <cell r="B175"/>
          <cell r="C175"/>
          <cell r="D175" t="str">
            <v>Assumptions on the sales of “nonenergy” products and the impact of the exclusion are disclosed</v>
          </cell>
          <cell r="E175" t="str">
            <v>Disclosure</v>
          </cell>
        </row>
        <row r="176">
          <cell r="A176" t="str">
            <v>10.i.c</v>
          </cell>
          <cell r="B176"/>
          <cell r="C176"/>
          <cell r="D176" t="str">
            <v>Assumptions on any “financial trading” volumes and the impact of the exclusion should be disclosed</v>
          </cell>
          <cell r="E176" t="str">
            <v>Disclosure</v>
          </cell>
        </row>
        <row r="177">
          <cell r="A177" t="str">
            <v>10.i.d</v>
          </cell>
          <cell r="B177"/>
          <cell r="C177"/>
          <cell r="D177" t="str">
            <v>Any treatment of FFE either in the stated energy figure or targets is clearly disclosed</v>
          </cell>
          <cell r="E177" t="str">
            <v>Disclosure</v>
          </cell>
        </row>
        <row r="178">
          <cell r="A178" t="str">
            <v>10.ii</v>
          </cell>
          <cell r="B178"/>
          <cell r="C178" t="str">
            <v>Emissions disclosure</v>
          </cell>
          <cell r="D178"/>
          <cell r="E178"/>
        </row>
        <row r="179">
          <cell r="A179" t="str">
            <v>10.ii.a</v>
          </cell>
          <cell r="B179"/>
          <cell r="C179"/>
          <cell r="D179" t="str">
            <v>Disclose net emissions from all externally sold energy. This should be disclosed on the same (comprehensive) footprint used for energy covering all emission scopes and greenhouse gases (methane, as well as CO2). To enhance the credibility of emissions data, it should be verified by independent and external advisors.</v>
          </cell>
          <cell r="E179" t="str">
            <v>Disclosure</v>
          </cell>
        </row>
        <row r="180">
          <cell r="A180" t="str">
            <v>10.ii.b</v>
          </cell>
          <cell r="B180"/>
          <cell r="C180"/>
          <cell r="D180" t="str">
            <v>The emissions data has been externally and independently verified</v>
          </cell>
          <cell r="E180" t="str">
            <v>Disclosure</v>
          </cell>
        </row>
        <row r="181">
          <cell r="A181" t="str">
            <v>10.ii.c</v>
          </cell>
          <cell r="B181"/>
          <cell r="C181"/>
          <cell r="D181" t="str">
            <v>The difference between gross and net emissions is explicitly stated</v>
          </cell>
          <cell r="E181" t="str">
            <v>Disclosure</v>
          </cell>
        </row>
        <row r="182">
          <cell r="A182"/>
          <cell r="B182"/>
          <cell r="C182"/>
          <cell r="D182"/>
          <cell r="E182"/>
        </row>
        <row r="183">
          <cell r="A183">
            <v>11</v>
          </cell>
          <cell r="B183" t="str">
            <v>Historical GHG Emissions Reductions (beta)</v>
          </cell>
          <cell r="C183"/>
          <cell r="D183"/>
          <cell r="E183"/>
        </row>
        <row r="184">
          <cell r="A184">
            <v>11.1</v>
          </cell>
          <cell r="B184"/>
          <cell r="C184" t="str">
            <v>The company’s emissions intensity is decreasing.</v>
          </cell>
          <cell r="D184"/>
          <cell r="E184" t="str">
            <v>Disclosure</v>
          </cell>
        </row>
        <row r="185">
          <cell r="A185" t="str">
            <v>11.1.a</v>
          </cell>
          <cell r="B185"/>
          <cell r="C185" t="str">
            <v>The company’s GHG emissions intensity has decreased in the past year relative to the previous year</v>
          </cell>
          <cell r="D185"/>
          <cell r="E185" t="str">
            <v>Disclosure</v>
          </cell>
        </row>
        <row r="186">
          <cell r="A186" t="str">
            <v>11.1.b</v>
          </cell>
          <cell r="B186"/>
          <cell r="C186" t="str">
            <v>The company’s GHG emissions intensity decreased over the past three years.</v>
          </cell>
          <cell r="D186"/>
          <cell r="E186" t="str">
            <v>Disclosure</v>
          </cell>
        </row>
        <row r="187">
          <cell r="A187" t="str">
            <v>11.1.c</v>
          </cell>
          <cell r="B187"/>
          <cell r="C187" t="str">
            <v>The company has reduced its GHG 
emissions intensity at a rate faster than that projected by 
a credible 1.5°C pathway for its sector over the past 3 
years.</v>
          </cell>
          <cell r="D187"/>
          <cell r="E187" t="str">
            <v>Disclosure</v>
          </cell>
        </row>
        <row r="188">
          <cell r="A188">
            <v>11.2</v>
          </cell>
          <cell r="B188"/>
          <cell r="C188" t="str">
            <v>The company discloses the factors that have led to changes
in its historical emissions trajectory.</v>
          </cell>
          <cell r="D188"/>
          <cell r="E188" t="str">
            <v>Disclosure</v>
          </cell>
        </row>
        <row r="189">
          <cell r="A189" t="str">
            <v>11.2.a</v>
          </cell>
          <cell r="B189"/>
          <cell r="C189" t="str">
            <v>The company has quantified the main actions that have driven any Scope 1 and 2 emissions changes, specifying the impact of any large “one-off” items (e.g., divestments, acquisitions, and mergers)</v>
          </cell>
          <cell r="D189"/>
          <cell r="E189" t="str">
            <v>Disclosure</v>
          </cell>
        </row>
        <row r="190">
          <cell r="A190" t="str">
            <v>11.2.b</v>
          </cell>
          <cell r="B190"/>
          <cell r="C190" t="str">
            <v>The company has quantified the main 
actions that have driven any Scope 3 emissions changes, 
specifying the impact of any large “one-off” items (e.g., 
divestments, acquisitions, and mergers).</v>
          </cell>
          <cell r="D190"/>
          <cell r="E190" t="str">
            <v>Disclosure</v>
          </cell>
        </row>
        <row r="191">
          <cell r="A191" t="str">
            <v>11.2.c</v>
          </cell>
          <cell r="B191"/>
          <cell r="C191" t="str">
            <v>The company discloses details on the  carbon credits it retired in the previous year.</v>
          </cell>
          <cell r="D191"/>
          <cell r="E191" t="str">
            <v>Disclosure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3-09-26T16:50:24.54" personId="{00000000-0000-0000-0000-000000000000}" id="{30A591D3-2D89-4E4C-82E0-48692CDCF77C}">
    <text>The company has set a long-term target for reducing its GHG emissions in the period between 2036 and 2050.</text>
  </threadedComment>
  <threadedComment ref="C12" dT="2023-09-26T16:49:40.36" personId="{00000000-0000-0000-0000-000000000000}" id="{C96CFB87-FCD9-4C4F-8A94-1AB2F4D8C4F0}">
    <text>The company's long-term (2036 to 2050) GHG reduction target covers at least 95% of its Scope 1 and 2 emissions and the most relevant Scope 3 emissions (where applicable).</text>
  </threadedComment>
  <threadedComment ref="C13" dT="2023-09-26T16:49:30.86" personId="{00000000-0000-0000-0000-000000000000}" id="{BF17D9A6-3957-465B-95EB-5EF3729AE951}">
    <text>The company has specified that this target covers at least 95% of its total Scope 1 and 2 emissions.</text>
  </threadedComment>
  <threadedComment ref="C17" dT="2023-09-26T16:43:02.90" personId="{00000000-0000-0000-0000-000000000000}" id="{4FA51B81-E324-4BF2-A161-E959EF6AD69B}">
    <text>The company has set a medium-term target for reducing its GHG emissions in the period between 2027 and 2035.</text>
  </threadedComment>
  <threadedComment ref="C18" dT="2023-09-26T16:42:52.67" personId="{00000000-0000-0000-0000-000000000000}" id="{C80E54EC-3569-4A61-A752-21DA01CD4D78}">
    <text>The company's medium-term (2027 to 2035) GHG reduction target covers at least 95% of its Scope 1 and 2 emissions and the most relevant Scope 3 emissions (where applicable).</text>
  </threadedComment>
  <threadedComment ref="C19" dT="2023-09-26T16:42:41.63" personId="{00000000-0000-0000-0000-000000000000}" id="{1AC5C5F8-9EB6-49DD-8EAC-3F22D3653A5C}">
    <text>The company has specified that its medium-term GHG reduction target covers at least 95% of its total Scope 1 and 2 emissions.</text>
  </threadedComment>
  <threadedComment ref="C21" dT="2023-09-26T16:42:07.87" personId="{00000000-0000-0000-0000-000000000000}" id="{54CA8280-397D-4AA9-8694-9DC697D768CE}">
    <text>The company’s last disclosed carbon intensity OR its short-term targeted carbon intensity target OR the company’s expected carbon intensity derived from its medium-term GHG reduction target is aligned with or below the relevant sector trajectory needed to achieve the Paris Agreement goal of limiting global temperature increase to 1.5°C with low or no overshoot in 2035. This is equivalent to IPCC’s Special Report on the 1.5° Celsius pathway P1 or the IEA’s Net Zero Emissions by 2050 Scenario.</text>
  </threadedComment>
  <threadedComment ref="C22" dT="2023-09-26T16:41:53.40" personId="{00000000-0000-0000-0000-000000000000}" id="{DE1A7D42-0689-4605-B9A3-E6F82BA1C96E}">
    <text>If the company has only set an intensity GHG reduction target, it has converted it into corresponding projected absolute GHG emissions reductions.</text>
  </threadedComment>
  <threadedComment ref="C24" dT="2023-09-26T16:41:37.79" personId="{00000000-0000-0000-0000-000000000000}" id="{FDEEC342-D073-41E3-B83A-A9B68E616623}">
    <text>The company has set a short-term target for reducing its GHG emissions in the period between 2023 and 2026.</text>
  </threadedComment>
  <threadedComment ref="C25" dT="2023-09-26T16:41:22.16" personId="{00000000-0000-0000-0000-000000000000}" id="{9F2CF2C1-C942-480F-8419-AFA6CD9A5F5C}">
    <text>The company’s short-term (up to 2026) GHG reduction target covers at least 95% of its Scope 1 and 2 emissions and the most relevant Scope 3 emissions (where applicable).</text>
  </threadedComment>
  <threadedComment ref="C26" dT="2023-09-26T16:41:08.80" personId="{00000000-0000-0000-0000-000000000000}" id="{EC49B251-9D3F-41FC-8B1F-BACB4F81E2AB}">
    <text>The company has specified that its short-term GHG reduction target covers at least 95% of its total Scope 1 and 2 emissions.</text>
  </threadedComment>
  <threadedComment ref="C30" dT="2023-09-26T16:40:30.66" personId="{00000000-0000-0000-0000-000000000000}" id="{9C40D827-46DA-43D3-BCED-BA44FD099B1E}">
    <text>The company has a decarbonisation strategy that explains how it intends to meet its medium- and longterm GHG reduction targets.</text>
  </threadedComment>
  <threadedComment ref="C33" dT="2023-09-26T16:39:58.88" personId="{00000000-0000-0000-0000-000000000000}" id="{ACC62693-5EBF-4846-A1B0-482E816BE7F4}">
    <text>If the company chooses to employ offsetting and negative emissions technologies to meet its medium- and long-term GHG reduction targets, it discloses the quantity of offsets, type of offsets, offset certification and the negative emissions technologies it is planning to use.</text>
  </threadedComment>
  <threadedComment ref="C35" dT="2023-09-26T16:39:33.00" personId="{00000000-0000-0000-0000-000000000000}" id="{88D18EB9-8F9F-4F2A-8E80-8C5FE1E07B10}">
    <text>The company’s decarbonisation strategy specifies the role of climate solutions (i.e., technologies and products that will enable the economy to decarbonise*).</text>
  </threadedComment>
  <threadedComment ref="C36" dT="2023-09-26T16:38:54.07" personId="{00000000-0000-0000-0000-000000000000}" id="{71DB551F-6D96-4F4A-9A3F-DD9D00377592}">
    <text>The company discloses the revenue OR production it already generates from climate solutions and discloses its share in overall sales.</text>
  </threadedComment>
  <threadedComment ref="C37" dT="2023-09-26T16:38:42.69" personId="{00000000-0000-0000-0000-000000000000}" id="{92596038-F2DA-4CD2-823E-E5E0DB28D46B}">
    <text>The company has set a target to increase revenue OR production from climate solutions in its overall sales.</text>
  </threadedComment>
  <threadedComment ref="C39" dT="2023-09-26T16:37:50.88" personId="{00000000-0000-0000-0000-000000000000}" id="{8A946AFE-C23D-45A0-A8BB-E7ECCDC2C5E4}">
    <text>The company is working to decarbonise its capital expenditures.</text>
  </threadedComment>
  <threadedComment ref="C40" dT="2023-09-26T16:38:05.49" personId="{00000000-0000-0000-0000-000000000000}" id="{3A916EA7-0CAD-4B39-9D10-A437DB85A54E}">
    <text>The company explicitly states that it has phased out or is planning to phase out capital expenditure in new unabated carbon-intensive assets or products by a specified year.</text>
  </threadedComment>
  <threadedComment ref="C41" dT="2023-09-26T16:38:23.05" personId="{00000000-0000-0000-0000-000000000000}" id="{A0A821C5-5788-4EF5-AF41-8928D322B0F6}">
    <text>The company discloses the stated value of its capital expenditure that is going towards unabated carbon-intensive assets or products.</text>
  </threadedComment>
  <threadedComment ref="C43" dT="2023-09-26T16:36:22.94" personId="{00000000-0000-0000-0000-000000000000}" id="{FAFEA8F6-E2E1-41DD-93AC-DF578E04ABEA}">
    <text>The company discloses the stated value of its capital expenditure allocated towards climate solutions in the last reporting year. </text>
  </threadedComment>
  <threadedComment ref="C44" dT="2023-09-26T16:36:05.03" personId="{00000000-0000-0000-0000-000000000000}" id="{FA14C8E9-11C6-47D2-BA2F-EB9BDB612AAF}">
    <text>The company discloses the stated value of its capital expenditure that it intends to allocate towards climate solutions in the future.</text>
  </threadedComment>
  <threadedComment ref="C46" dT="2023-09-26T16:35:49.45" personId="{00000000-0000-0000-0000-000000000000}" id="{450AD445-8815-4F9E-BE2C-2ABBCDC25D59}">
    <text>The company commits to conducting its policy engagement activities in accordance with the goals of the Paris Agreement.</text>
  </threadedComment>
  <threadedComment ref="C47" dT="2023-09-26T16:35:38.98" personId="{00000000-0000-0000-0000-000000000000}" id="{3AD5EE8B-0DCC-46BD-A849-9E83EC87BEF6}">
    <text>The company has a specific public commitment/position statement to conduct all of its lobbying in line with the goals of the Paris Agreement.</text>
  </threadedComment>
  <threadedComment ref="C48" dT="2023-09-26T16:35:27.48" personId="{00000000-0000-0000-0000-000000000000}" id="{2EE71477-6831-45D5-9B37-2382B78F5E99}">
    <text>The company commits to advocate for Paris-aligned lobbying within the trade associations of which it is a member.</text>
  </threadedComment>
  <threadedComment ref="C50" dT="2023-09-26T16:35:03.54" personId="{00000000-0000-0000-0000-000000000000}" id="{5231A330-96CE-4ADE-9288-C82F02F2A2F2}">
    <text>The company reviews its own and its trade associations’ climate policy engagement positions/ activities.</text>
  </threadedComment>
  <threadedComment ref="C51" dT="2023-09-26T16:34:51.61" personId="{00000000-0000-0000-0000-000000000000}" id="{5DE129CD-D24B-43BA-94A2-F7D4B5C0365A}">
    <text>The company publishes a review of its climate policy positions’ alignment with the Paris Agreement and discloses how it has advocated for these positions through its climate policy engagement activities.</text>
  </threadedComment>
  <threadedComment ref="C52" dT="2023-09-26T16:34:39.51" personId="{00000000-0000-0000-0000-000000000000}" id="{F4769DBA-D1BA-428D-A2F8-DC2AEB3C6559}">
    <text>The company publishes a review of its trade associations’ climate positions/alignment with the Paris Agreement and discloses what actions it took as a result.</text>
  </threadedComment>
  <threadedComment ref="C54" dT="2023-09-26T16:33:16.87" personId="{00000000-0000-0000-0000-000000000000}" id="{C4F83200-E484-4E50-A357-0491D499AD64}">
    <text>The company’s Board has clear oversight of climate change.</text>
  </threadedComment>
  <threadedComment ref="C55" dT="2023-09-26T16:33:06.40" personId="{00000000-0000-0000-0000-000000000000}" id="{5BC6912D-C957-4E52-B2FD-CC96A813A7B2}">
    <text>The company discloses evidence of Board or Board committee oversight of the management of climate change risks.</text>
  </threadedComment>
  <threadedComment ref="C56" dT="2023-09-26T16:32:54.73" personId="{00000000-0000-0000-0000-000000000000}" id="{8337F195-3314-401B-99A9-6391CBF44525}">
    <text>The company has named a position at the Board level with responsibility for climate change.</text>
  </threadedComment>
  <threadedComment ref="C57" dT="2023-09-26T16:32:40.62" personId="{00000000-0000-0000-0000-000000000000}" id="{70104C59-6F1C-4745-ACE3-B01E5AD0084C}">
    <text>The company’s executive remuneration scheme incorporates climate change performance elements.</text>
  </threadedComment>
  <threadedComment ref="C58" dT="2023-09-26T16:32:28.88" personId="{00000000-0000-0000-0000-000000000000}" id="{6341F32D-5014-44E1-8929-BB6095C80628}">
    <text>The company’s CEO and/or at least one other senior executive’s remuneration arrangements specifically incorporate climate change performance as a Key Performance Indicator determining performance-linked compensation (references to ‘ESG’ or ‘sustainability performance’ are insufficient).</text>
  </threadedComment>
  <threadedComment ref="C59" dT="2023-09-26T16:32:13.70" personId="{00000000-0000-0000-0000-000000000000}" id="{F36B7FB5-9D92-4149-B998-3A4A82756023}">
    <text>The company’s CEO and/or at least one other senior executive’s remuneration arrangements incorporate progress towards achieving the company’s GHG reduction targets as a Key Performance Indicator determining performance-linked compensation.</text>
  </threadedComment>
  <threadedComment ref="C60" dT="2023-09-26T16:31:57.40" personId="{00000000-0000-0000-0000-000000000000}" id="{C59668A9-F5A8-463A-AAFE-0DA7500EF1AF}">
    <text>The Board has sufficient capabilities/competencies to assess and manage climate-related risks and opportunities.</text>
  </threadedComment>
  <threadedComment ref="C61" dT="2023-09-26T16:31:32.45" personId="{00000000-0000-0000-0000-000000000000}" id="{28E9E9A9-9826-45C3-8F6B-BBC3CDF90084}">
    <text>The company has assessed its Board’s competencies with respect to managing climate risks and opportunities and disclosed the results of this assessment.</text>
  </threadedComment>
  <threadedComment ref="C62" dT="2023-09-26T16:31:18.82" personId="{00000000-0000-0000-0000-000000000000}" id="{F2B68352-3A96-4B9E-A687-241F5C1F6109}">
    <text>The company provides details on the criteria it uses to assess its Board's competencies with respect to managing climate risks and opportunities, and the measures it is taking to enhance these competencies.</text>
  </threadedComment>
  <threadedComment ref="C64" dT="2023-09-26T16:31:04.38" personId="{00000000-0000-0000-0000-000000000000}" id="{E7E1005A-0728-4A45-BEF2-52E2089DEBA8}">
    <text>The company has committed to the principles of a Just Transition.</text>
  </threadedComment>
  <threadedComment ref="C65" dT="2023-09-26T16:30:45.85" personId="{00000000-0000-0000-0000-000000000000}" id="{EF22182A-751F-44A6-8E6C-CFADCE8237C1}">
    <text>The company has committed to decarbonise in line with defined Just Transition principles, recognising the social impacts of its decarbonisation efforts.</text>
  </threadedComment>
  <threadedComment ref="C66" dT="2023-09-26T16:30:33.10" personId="{00000000-0000-0000-0000-000000000000}" id="{87A93421-3A5D-4F0B-B9B8-BEF2F965C8A9}">
    <text>The company has committed to retain, retrain, redeploy and/or compensate workers affected by its decarbonisation efforts.</text>
  </threadedComment>
  <threadedComment ref="C67" dT="2023-09-26T16:30:19.29" personId="{00000000-0000-0000-0000-000000000000}" id="{DC729014-A22F-4914-9BB6-2FD16FAEF69F}">
    <text>The company has committed that new projects associated with its decarbonisation efforts are developed in consultation with affected communities and seek their consent.</text>
  </threadedComment>
  <threadedComment ref="C68" dT="2023-09-26T16:28:20.55" personId="{00000000-0000-0000-0000-000000000000}" id="{F084E248-1B2E-45EC-B5C6-0CAF14F409DA}">
    <text>The company has disclosed how it is planning for and monitoring progress towards a Just Transition.</text>
  </threadedComment>
  <threadedComment ref="C70" dT="2023-09-26T16:28:01.21" personId="{00000000-0000-0000-0000-000000000000}" id="{E5915341-599D-488A-9A98-BAC216D567A7}">
    <text>The company’s Just Transition plan was developed in consultation with workers, communities and other key stakeholders affected by its decarbonisation efforts.</text>
  </threadedComment>
  <threadedComment ref="C73" dT="2023-09-26T16:27:23.05" personId="{00000000-0000-0000-0000-000000000000}" id="{5059152A-2E51-463F-9107-76EF0ADCFB9A}">
    <text>The company has publicly committed to implement the recommendations of the Task Force on Climate related Financial Disclosures (TCFD).</text>
  </threadedComment>
  <threadedComment ref="C74" dT="2023-09-26T16:27:03.35" personId="{00000000-0000-0000-0000-000000000000}" id="{5B3DE018-B0C5-436B-BCE1-6D68F1F714FC}">
    <text>The company explicitly commits to align its disclosures with the TCFD recommendations OR it is listed as a supporter on the TCFD website.</text>
  </threadedComment>
  <threadedComment ref="C75" dT="2023-09-26T16:26:47.06" personId="{00000000-0000-0000-0000-000000000000}" id="{B690748E-F23D-47BF-B239-0F8798176000}">
    <text>The company explicitly sign-posts TCFD-aligned disclosures in its annual reporting or publishes them in a TCFD report.</text>
  </threadedComment>
  <threadedComment ref="C76" dT="2023-09-26T16:26:17.28" personId="{00000000-0000-0000-0000-000000000000}" id="{809D2DFB-CC87-4BE4-95B1-10C458A7C3B2}">
    <text>The company employs climate-scenario planning to test its strategic and operational resilience.</text>
  </threadedComment>
  <threadedComment ref="C77" dT="2023-09-26T16:25:19.23" personId="{00000000-0000-0000-0000-000000000000}" id="{D6DE6A3A-A662-4394-A01E-F9A7E68863AA}">
    <text>The company has conducted a climate-related scenario analysis including quantitative elements and disclosed its results.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139838633.fs1.hubspotusercontent-eu1.net/hubfs/139838633/Past%20resource%20uploads/IIGCC_Net-Zero-Standard-for-Oil-Gas_April23.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8.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D6141-019B-4C55-AEFC-49F0EDE1E058}">
  <dimension ref="A1:P25"/>
  <sheetViews>
    <sheetView showGridLines="0" tabSelected="1" zoomScaleNormal="100" workbookViewId="0"/>
  </sheetViews>
  <sheetFormatPr defaultColWidth="10.81640625" defaultRowHeight="14"/>
  <cols>
    <col min="1" max="1" width="21.1796875" style="4" customWidth="1"/>
    <col min="2" max="2" width="121.453125" style="4" customWidth="1"/>
    <col min="3" max="3" width="46.453125" style="4" customWidth="1"/>
    <col min="4" max="4" width="12.453125" style="4" customWidth="1"/>
    <col min="5" max="5" width="0.81640625" style="4" customWidth="1"/>
    <col min="6" max="14" width="0.1796875" style="4" customWidth="1"/>
    <col min="15" max="16384" width="10.81640625" style="4"/>
  </cols>
  <sheetData>
    <row r="1" spans="1:5">
      <c r="A1" s="2"/>
      <c r="B1" s="3"/>
      <c r="C1" s="2"/>
      <c r="D1" s="2"/>
      <c r="E1" s="2"/>
    </row>
    <row r="2" spans="1:5" ht="78" customHeight="1">
      <c r="A2" s="2"/>
      <c r="B2" s="3"/>
      <c r="C2" s="9" t="s">
        <v>0</v>
      </c>
      <c r="D2" s="5"/>
      <c r="E2" s="2"/>
    </row>
    <row r="3" spans="1:5" ht="59.25" customHeight="1">
      <c r="A3" s="2"/>
      <c r="B3" s="3"/>
      <c r="C3" s="6"/>
      <c r="D3" s="6"/>
      <c r="E3" s="6"/>
    </row>
    <row r="4" spans="1:5" ht="65.25" customHeight="1">
      <c r="A4" s="2"/>
      <c r="B4" s="3"/>
      <c r="C4" s="2"/>
      <c r="D4" s="2"/>
      <c r="E4" s="2"/>
    </row>
    <row r="5" spans="1:5" ht="134.25" customHeight="1">
      <c r="A5" s="2"/>
      <c r="B5" s="349" t="s">
        <v>1</v>
      </c>
      <c r="C5" s="349"/>
      <c r="D5" s="6"/>
      <c r="E5" s="2"/>
    </row>
    <row r="6" spans="1:5" ht="36" customHeight="1">
      <c r="A6" s="2"/>
      <c r="B6" s="352" t="s">
        <v>2</v>
      </c>
      <c r="C6" s="352"/>
      <c r="D6" s="6"/>
      <c r="E6" s="2"/>
    </row>
    <row r="7" spans="1:5" ht="9" customHeight="1">
      <c r="A7" s="2"/>
      <c r="B7" s="352"/>
      <c r="C7" s="352"/>
      <c r="D7" s="7"/>
      <c r="E7" s="2"/>
    </row>
    <row r="8" spans="1:5">
      <c r="A8" s="2"/>
      <c r="B8" s="3"/>
      <c r="C8" s="2"/>
      <c r="D8" s="2"/>
      <c r="E8" s="2"/>
    </row>
    <row r="9" spans="1:5">
      <c r="A9" s="2"/>
      <c r="B9" s="18" t="s">
        <v>3</v>
      </c>
      <c r="C9" s="19"/>
      <c r="D9" s="2"/>
      <c r="E9" s="2"/>
    </row>
    <row r="10" spans="1:5" ht="20.25" customHeight="1">
      <c r="A10" s="2"/>
      <c r="B10" s="17" t="s">
        <v>4</v>
      </c>
      <c r="C10" s="19"/>
      <c r="E10" s="2"/>
    </row>
    <row r="11" spans="1:5" ht="16" customHeight="1">
      <c r="A11" s="2"/>
      <c r="B11" s="270" t="s">
        <v>5</v>
      </c>
      <c r="C11" s="20"/>
      <c r="D11" s="16"/>
      <c r="E11" s="2"/>
    </row>
    <row r="12" spans="1:5" ht="28.5" customHeight="1">
      <c r="A12" s="2"/>
      <c r="B12" s="357" t="s">
        <v>6</v>
      </c>
      <c r="C12" s="357"/>
      <c r="D12" s="16"/>
      <c r="E12" s="2"/>
    </row>
    <row r="13" spans="1:5" ht="34.5" customHeight="1">
      <c r="A13" s="2"/>
      <c r="B13" s="17" t="s">
        <v>7</v>
      </c>
      <c r="D13" s="16"/>
      <c r="E13" s="2"/>
    </row>
    <row r="14" spans="1:5" ht="15.65" customHeight="1">
      <c r="A14" s="2"/>
      <c r="B14" s="320" t="s">
        <v>8</v>
      </c>
      <c r="D14" s="16"/>
      <c r="E14" s="2"/>
    </row>
    <row r="15" spans="1:5" ht="15.65" customHeight="1">
      <c r="A15" s="2"/>
      <c r="B15" s="321" t="s">
        <v>9</v>
      </c>
      <c r="D15" s="16"/>
      <c r="E15" s="2"/>
    </row>
    <row r="16" spans="1:5" ht="15.65" customHeight="1">
      <c r="A16" s="2"/>
      <c r="B16" s="322" t="s">
        <v>10</v>
      </c>
      <c r="D16" s="16"/>
      <c r="E16" s="2"/>
    </row>
    <row r="17" spans="1:16" ht="15.65" customHeight="1">
      <c r="A17" s="2"/>
      <c r="B17" s="322" t="s">
        <v>11</v>
      </c>
      <c r="C17" s="15"/>
      <c r="D17" s="16"/>
      <c r="E17" s="2"/>
    </row>
    <row r="18" spans="1:16" ht="15" customHeight="1">
      <c r="A18" s="2"/>
      <c r="B18" s="323" t="s">
        <v>12</v>
      </c>
      <c r="E18" s="2"/>
    </row>
    <row r="19" spans="1:16" ht="15" customHeight="1">
      <c r="A19" s="2"/>
      <c r="E19" s="2"/>
    </row>
    <row r="20" spans="1:16">
      <c r="A20" s="2"/>
      <c r="B20" s="353" t="s">
        <v>13</v>
      </c>
      <c r="C20" s="353"/>
      <c r="D20" s="353"/>
      <c r="E20" s="2"/>
    </row>
    <row r="22" spans="1:16" ht="14.5" hidden="1" customHeight="1">
      <c r="A22" s="354"/>
      <c r="B22" s="354"/>
      <c r="C22" s="354"/>
      <c r="D22" s="354"/>
      <c r="E22" s="354"/>
      <c r="F22" s="354"/>
      <c r="G22" s="354"/>
      <c r="H22" s="354"/>
      <c r="I22" s="354"/>
      <c r="J22" s="354"/>
      <c r="K22" s="354"/>
      <c r="L22" s="354"/>
      <c r="M22" s="354"/>
      <c r="N22" s="354"/>
      <c r="O22" s="354"/>
      <c r="P22" s="354"/>
    </row>
    <row r="24" spans="1:16" ht="15.5">
      <c r="B24" s="355" t="s">
        <v>14</v>
      </c>
      <c r="C24" s="356"/>
    </row>
    <row r="25" spans="1:16" ht="326.25" customHeight="1">
      <c r="B25" s="350" t="s">
        <v>15</v>
      </c>
      <c r="C25" s="351"/>
    </row>
  </sheetData>
  <sheetProtection autoFilter="0"/>
  <mergeCells count="7">
    <mergeCell ref="B5:C5"/>
    <mergeCell ref="B25:C25"/>
    <mergeCell ref="B6:C7"/>
    <mergeCell ref="B20:D20"/>
    <mergeCell ref="A22:P22"/>
    <mergeCell ref="B24:C24"/>
    <mergeCell ref="B12:C12"/>
  </mergeCells>
  <hyperlinks>
    <hyperlink ref="B11" r:id="rId1" display="For the most recent version of the Net Zero Standard for Oil and Gas, please click this link." xr:uid="{9630E939-FCB6-47EF-B484-80F926C5CDDD}"/>
    <hyperlink ref="B14" location="'How the NZS works'!A1" display="1. How the NZS works" xr:uid="{3BEF7DC9-ABC2-4EB0-90C9-74910A087C12}"/>
    <hyperlink ref="B15" location="Summary!A1" display="2. Summary" xr:uid="{C8E0F4D4-7C52-4629-998E-CE56C2157C4A}"/>
    <hyperlink ref="B16" location="'Company Scorecard - select'!A1" display="3. Company Scorecard - Select" xr:uid="{7645BD18-8888-463A-A2F7-AC055A5429EB}"/>
    <hyperlink ref="B17" location="'Company comparisons'!A1" display="4. Company Comparisons" xr:uid="{F51BAE55-6A84-4420-A94C-C56050866D40}"/>
    <hyperlink ref="B18" location="'NZS O&amp;G Summary'!A1" display="5. NZS O&amp;G Summary" xr:uid="{5FCED0FC-9614-471E-BED9-BA17B820685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D2B44-812C-4608-A610-CE8FDA2BEC09}">
  <sheetPr>
    <tabColor rgb="FF00B0F0"/>
  </sheetPr>
  <dimension ref="A1:M89"/>
  <sheetViews>
    <sheetView showGridLines="0" zoomScale="85" zoomScaleNormal="85" workbookViewId="0"/>
  </sheetViews>
  <sheetFormatPr defaultColWidth="0" defaultRowHeight="14" zeroHeight="1"/>
  <cols>
    <col min="1" max="1" width="20" style="154" customWidth="1"/>
    <col min="2" max="2" width="99.453125" style="154" customWidth="1"/>
    <col min="3" max="3" width="68.26953125" style="154" customWidth="1"/>
    <col min="4" max="4" width="8.453125" style="154" customWidth="1"/>
    <col min="5" max="5" width="2.1796875" style="154" customWidth="1"/>
    <col min="6" max="6" width="8.7265625" style="154" hidden="1" customWidth="1"/>
    <col min="7" max="7" width="5.81640625" style="154" hidden="1" customWidth="1"/>
    <col min="8" max="8" width="3.54296875" style="154" customWidth="1"/>
    <col min="9" max="9" width="16.54296875" style="11" hidden="1" customWidth="1"/>
    <col min="10" max="10" width="44.54296875" style="11" hidden="1" customWidth="1"/>
    <col min="11" max="11" width="28" style="11" hidden="1" customWidth="1"/>
    <col min="12" max="12" width="17.81640625" style="11" hidden="1" customWidth="1"/>
    <col min="13" max="13" width="13" style="11" hidden="1" customWidth="1"/>
    <col min="14" max="16384" width="8.7265625" style="11" hidden="1"/>
  </cols>
  <sheetData>
    <row r="1" spans="2:9">
      <c r="B1" s="200"/>
      <c r="C1" s="200"/>
      <c r="D1" s="200"/>
      <c r="E1" s="200"/>
      <c r="F1" s="200"/>
      <c r="G1" s="200"/>
    </row>
    <row r="2" spans="2:9" ht="57.75" customHeight="1">
      <c r="B2" s="200"/>
      <c r="C2" s="344" t="s">
        <v>0</v>
      </c>
      <c r="D2" s="5"/>
      <c r="E2" s="2"/>
      <c r="F2" s="200"/>
      <c r="G2" s="200"/>
    </row>
    <row r="3" spans="2:9" ht="48.75" customHeight="1">
      <c r="B3" s="200"/>
      <c r="C3" s="10"/>
      <c r="D3" s="10"/>
      <c r="E3" s="10"/>
      <c r="F3" s="200"/>
      <c r="G3" s="200"/>
    </row>
    <row r="4" spans="2:9" ht="45" customHeight="1">
      <c r="B4" s="200"/>
      <c r="C4" s="200"/>
      <c r="D4" s="200"/>
      <c r="E4" s="200"/>
      <c r="F4" s="200"/>
      <c r="G4" s="200"/>
    </row>
    <row r="5" spans="2:9">
      <c r="B5" s="200"/>
      <c r="C5" s="200"/>
      <c r="D5" s="200"/>
      <c r="E5" s="200"/>
      <c r="F5" s="200"/>
      <c r="G5" s="200"/>
    </row>
    <row r="6" spans="2:9">
      <c r="B6" s="207" t="s">
        <v>16</v>
      </c>
      <c r="C6" s="200"/>
      <c r="D6" s="200"/>
      <c r="E6" s="200"/>
      <c r="F6" s="200"/>
      <c r="G6" s="200"/>
    </row>
    <row r="7" spans="2:9">
      <c r="B7" s="208" t="s">
        <v>17</v>
      </c>
      <c r="C7" s="207"/>
      <c r="D7" s="207"/>
      <c r="E7" s="207"/>
      <c r="F7" s="207"/>
      <c r="G7" s="207"/>
    </row>
    <row r="8" spans="2:9">
      <c r="B8" s="208" t="s">
        <v>18</v>
      </c>
      <c r="C8" s="207"/>
      <c r="D8" s="207"/>
      <c r="E8" s="207"/>
      <c r="F8" s="207"/>
      <c r="G8" s="207"/>
    </row>
    <row r="9" spans="2:9">
      <c r="B9" s="209" t="s">
        <v>19</v>
      </c>
      <c r="C9" s="207"/>
      <c r="D9" s="207"/>
      <c r="E9" s="207"/>
      <c r="F9" s="207"/>
      <c r="G9" s="207"/>
    </row>
    <row r="10" spans="2:9">
      <c r="B10" s="208" t="s">
        <v>20</v>
      </c>
      <c r="C10" s="207"/>
      <c r="D10" s="207"/>
      <c r="E10" s="207"/>
      <c r="F10" s="207"/>
      <c r="G10" s="207"/>
    </row>
    <row r="11" spans="2:9">
      <c r="B11" s="252" t="s">
        <v>21</v>
      </c>
      <c r="C11" s="207"/>
      <c r="D11" s="207"/>
      <c r="E11" s="207"/>
      <c r="F11" s="207"/>
      <c r="G11" s="207"/>
    </row>
    <row r="12" spans="2:9">
      <c r="B12" s="200" t="s">
        <v>22</v>
      </c>
      <c r="C12" s="207"/>
      <c r="D12" s="207"/>
      <c r="E12" s="207"/>
      <c r="F12" s="207"/>
      <c r="G12" s="207"/>
    </row>
    <row r="13" spans="2:9">
      <c r="B13" s="207"/>
      <c r="C13" s="207"/>
      <c r="D13" s="207"/>
      <c r="E13" s="207"/>
      <c r="F13" s="207"/>
      <c r="G13" s="207"/>
    </row>
    <row r="14" spans="2:9">
      <c r="B14" s="210" t="s">
        <v>17</v>
      </c>
      <c r="C14" s="207"/>
      <c r="D14" s="207"/>
      <c r="E14" s="207"/>
      <c r="F14" s="207"/>
      <c r="G14" s="207"/>
    </row>
    <row r="15" spans="2:9" ht="42" customHeight="1">
      <c r="B15" s="359" t="s">
        <v>23</v>
      </c>
      <c r="C15" s="359"/>
      <c r="D15" s="359"/>
      <c r="E15" s="359"/>
      <c r="F15" s="359"/>
      <c r="G15" s="359"/>
      <c r="I15" s="12"/>
    </row>
    <row r="16" spans="2:9" ht="15.75" customHeight="1">
      <c r="B16" s="211"/>
      <c r="C16" s="211"/>
      <c r="D16" s="211"/>
      <c r="E16" s="211"/>
      <c r="F16" s="211"/>
      <c r="G16" s="211"/>
      <c r="I16" s="12"/>
    </row>
    <row r="17" spans="2:10">
      <c r="B17" s="212" t="s">
        <v>18</v>
      </c>
      <c r="C17" s="207"/>
      <c r="D17" s="207"/>
      <c r="E17" s="207"/>
      <c r="F17" s="207"/>
      <c r="G17" s="207"/>
    </row>
    <row r="18" spans="2:10" ht="195.65" customHeight="1">
      <c r="B18" s="359" t="s">
        <v>24</v>
      </c>
      <c r="C18" s="359"/>
      <c r="D18" s="359"/>
      <c r="E18" s="359"/>
      <c r="F18" s="359"/>
      <c r="G18" s="359"/>
      <c r="H18" s="213"/>
      <c r="I18" s="12"/>
      <c r="J18" s="13"/>
    </row>
    <row r="19" spans="2:10" ht="7" customHeight="1">
      <c r="B19" s="211"/>
      <c r="C19" s="211"/>
      <c r="D19" s="211"/>
      <c r="E19" s="211"/>
      <c r="F19" s="211"/>
      <c r="G19" s="211"/>
      <c r="H19" s="213"/>
      <c r="I19" s="12"/>
      <c r="J19" s="13"/>
    </row>
    <row r="20" spans="2:10">
      <c r="B20" s="214" t="s">
        <v>19</v>
      </c>
      <c r="C20" s="207"/>
      <c r="D20" s="207"/>
      <c r="E20" s="207"/>
      <c r="F20" s="207"/>
      <c r="G20" s="207"/>
    </row>
    <row r="21" spans="2:10" ht="35.25" customHeight="1">
      <c r="B21" s="359" t="s">
        <v>25</v>
      </c>
      <c r="C21" s="359"/>
      <c r="D21" s="359"/>
      <c r="E21" s="359"/>
      <c r="F21" s="359"/>
      <c r="G21" s="359"/>
    </row>
    <row r="22" spans="2:10" ht="27.65" customHeight="1">
      <c r="B22" s="207"/>
      <c r="C22" s="207"/>
      <c r="D22" s="207"/>
      <c r="E22" s="207"/>
      <c r="F22" s="207"/>
      <c r="G22" s="207"/>
    </row>
    <row r="23" spans="2:10">
      <c r="E23" s="207"/>
      <c r="F23" s="207"/>
      <c r="G23" s="207"/>
    </row>
    <row r="24" spans="2:10">
      <c r="E24" s="215"/>
      <c r="F24" s="215"/>
      <c r="G24" s="215"/>
    </row>
    <row r="25" spans="2:10">
      <c r="E25" s="215"/>
      <c r="F25" s="215"/>
      <c r="G25" s="215"/>
    </row>
    <row r="26" spans="2:10">
      <c r="E26" s="215"/>
      <c r="F26" s="215"/>
      <c r="G26" s="215"/>
    </row>
    <row r="27" spans="2:10">
      <c r="E27" s="215"/>
      <c r="F27" s="215"/>
      <c r="G27" s="215"/>
    </row>
    <row r="28" spans="2:10"/>
    <row r="29" spans="2:10"/>
    <row r="30" spans="2:10"/>
    <row r="31" spans="2:10"/>
    <row r="32" spans="2:10"/>
    <row r="33" spans="2:2"/>
    <row r="34" spans="2:2"/>
    <row r="35" spans="2:2"/>
    <row r="36" spans="2:2">
      <c r="B36" s="216" t="s">
        <v>26</v>
      </c>
    </row>
    <row r="37" spans="2:2" ht="16" customHeight="1"/>
    <row r="38" spans="2:2" ht="21.75" customHeight="1"/>
    <row r="39" spans="2:2"/>
    <row r="40" spans="2:2" ht="44.15" customHeight="1"/>
    <row r="41" spans="2:2"/>
    <row r="42" spans="2:2"/>
    <row r="43" spans="2:2"/>
    <row r="44" spans="2:2">
      <c r="B44" s="216" t="s">
        <v>27</v>
      </c>
    </row>
    <row r="45" spans="2:2"/>
    <row r="46" spans="2:2"/>
    <row r="47" spans="2:2"/>
    <row r="48" spans="2:2"/>
    <row r="49" spans="2:7"/>
    <row r="50" spans="2:7"/>
    <row r="51" spans="2:7"/>
    <row r="52" spans="2:7"/>
    <row r="53" spans="2:7"/>
    <row r="54" spans="2:7"/>
    <row r="55" spans="2:7">
      <c r="B55" s="214" t="s">
        <v>20</v>
      </c>
    </row>
    <row r="56" spans="2:7" ht="30" customHeight="1">
      <c r="B56" s="359" t="s">
        <v>28</v>
      </c>
      <c r="C56" s="359"/>
      <c r="D56" s="359"/>
      <c r="E56" s="359"/>
      <c r="F56" s="359"/>
      <c r="G56" s="359"/>
    </row>
    <row r="57" spans="2:7"/>
    <row r="58" spans="2:7"/>
    <row r="59" spans="2:7"/>
    <row r="60" spans="2:7"/>
    <row r="61" spans="2:7"/>
    <row r="62" spans="2:7"/>
    <row r="63" spans="2:7"/>
    <row r="64" spans="2:7"/>
    <row r="65" spans="2:4"/>
    <row r="66" spans="2:4"/>
    <row r="67" spans="2:4"/>
    <row r="68" spans="2:4"/>
    <row r="69" spans="2:4"/>
    <row r="70" spans="2:4" ht="20.149999999999999" customHeight="1">
      <c r="B70" s="214" t="s">
        <v>21</v>
      </c>
    </row>
    <row r="71" spans="2:4">
      <c r="B71" s="209" t="s">
        <v>29</v>
      </c>
    </row>
    <row r="72" spans="2:4" ht="43" customHeight="1">
      <c r="B72" s="360" t="s">
        <v>30</v>
      </c>
      <c r="C72" s="360"/>
      <c r="D72" s="360"/>
    </row>
    <row r="73" spans="2:4">
      <c r="B73" s="214"/>
    </row>
    <row r="74" spans="2:4">
      <c r="B74" s="251" t="s">
        <v>31</v>
      </c>
    </row>
    <row r="75" spans="2:4">
      <c r="B75" s="215" t="s">
        <v>32</v>
      </c>
    </row>
    <row r="76" spans="2:4"/>
    <row r="77" spans="2:4">
      <c r="B77" s="217" t="s">
        <v>33</v>
      </c>
    </row>
    <row r="78" spans="2:4" ht="14.15" customHeight="1">
      <c r="B78" s="215" t="s">
        <v>34</v>
      </c>
    </row>
    <row r="79" spans="2:4" ht="14.5">
      <c r="B79"/>
    </row>
    <row r="80" spans="2:4">
      <c r="B80" s="217"/>
    </row>
    <row r="81" spans="2:3">
      <c r="B81" s="215" t="s">
        <v>35</v>
      </c>
    </row>
    <row r="82" spans="2:3">
      <c r="B82" s="215" t="s">
        <v>36</v>
      </c>
    </row>
    <row r="83" spans="2:3">
      <c r="B83" s="215" t="s">
        <v>37</v>
      </c>
    </row>
    <row r="84" spans="2:3">
      <c r="B84" s="215" t="s">
        <v>38</v>
      </c>
    </row>
    <row r="85" spans="2:3">
      <c r="B85" s="215" t="s">
        <v>39</v>
      </c>
    </row>
    <row r="86" spans="2:3">
      <c r="B86" s="215"/>
    </row>
    <row r="87" spans="2:3">
      <c r="B87" s="217" t="s">
        <v>40</v>
      </c>
    </row>
    <row r="88" spans="2:3" ht="38.25" customHeight="1">
      <c r="B88" s="358" t="s">
        <v>41</v>
      </c>
      <c r="C88" s="358"/>
    </row>
    <row r="89" spans="2:3">
      <c r="B89" s="215"/>
    </row>
  </sheetData>
  <mergeCells count="6">
    <mergeCell ref="B88:C88"/>
    <mergeCell ref="B56:G56"/>
    <mergeCell ref="B15:G15"/>
    <mergeCell ref="B18:G18"/>
    <mergeCell ref="B21:G21"/>
    <mergeCell ref="B72:D72"/>
  </mergeCells>
  <conditionalFormatting sqref="H30:H33">
    <cfRule type="colorScale" priority="1">
      <colorScale>
        <cfvo type="min"/>
        <cfvo type="max"/>
        <color rgb="FFFFCD03"/>
        <color rgb="FF45AA07"/>
      </colorScale>
    </cfRule>
  </conditionalFormatting>
  <hyperlinks>
    <hyperlink ref="B7" location="'How the NZS works'!_1._Structure" display="1. Structure " xr:uid="{791D74B7-595A-4F3E-8628-65EDE587B928}"/>
    <hyperlink ref="B8" location="'How the NZS works'!Classification_of_metrics_by_type___Bucketing" display="2. Classification of metrics by type (&quot;Bucketing&quot;)" xr:uid="{54445E49-014D-463A-B17E-EF62341C3529}"/>
    <hyperlink ref="B9" location="'How the NZS works'!Aggregating_metrics_into_sub_indicator_and_indicator_and_colour_coding" display="3. Aggregating metrics into sub-indicator and indicator and colour coding " xr:uid="{FDDF6FA3-3428-4D12-8C26-6B571EDC2CA0}"/>
    <hyperlink ref="B10" location="'How the NZS works'!Status_of_alignment_assessments" display="4. Status of alignment assessments" xr:uid="{E0D7ED15-7A1C-4358-B8AC-BFC60761A72C}"/>
    <hyperlink ref="B74" location="'Company Scorecard - select'!A1" display="Company Scorecard - select: " xr:uid="{042255F9-8206-47ED-B671-A6048C7BE523}"/>
    <hyperlink ref="B11" location="_5._How_to_use_this_workbook" display="5. How to use this workbook" xr:uid="{ABCE8B08-0305-4D67-B85C-6AAD48F421C2}"/>
    <hyperlink ref="B77" location="'Company comparisons'!A1" display="Company Comparisons:" xr:uid="{5D77A54F-CA25-4128-9A50-49A86AC815C8}"/>
    <hyperlink ref="B71" location="Summary!A1" display="Summary:" xr:uid="{0C195F22-AAB7-4210-BEEC-E2A8E681941B}"/>
    <hyperlink ref="B87" location="'NZS O&amp;G Summary (Values)'!A1" display="NZS O&amp;G Summary" xr:uid="{994B6AFB-0ADA-4278-9D2D-025AB75D684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2BE37-0DC2-4B8D-A33F-F86A00187ED3}">
  <sheetPr>
    <tabColor rgb="FF00B0F0"/>
  </sheetPr>
  <dimension ref="A1:G16"/>
  <sheetViews>
    <sheetView showGridLines="0" zoomScaleNormal="100" workbookViewId="0"/>
  </sheetViews>
  <sheetFormatPr defaultColWidth="0" defaultRowHeight="14.5" zeroHeight="1"/>
  <cols>
    <col min="1" max="1" width="13.1796875" customWidth="1"/>
    <col min="2" max="2" width="26.54296875" customWidth="1"/>
    <col min="3" max="3" width="28.1796875" customWidth="1"/>
    <col min="4" max="6" width="23.81640625" customWidth="1"/>
    <col min="7" max="7" width="14.1796875" customWidth="1"/>
    <col min="8" max="16384" width="8.7265625" hidden="1"/>
  </cols>
  <sheetData>
    <row r="1" spans="2:6"/>
    <row r="2" spans="2:6" ht="13" customHeight="1">
      <c r="C2" s="361"/>
      <c r="D2" s="361"/>
      <c r="E2" s="361"/>
      <c r="F2" s="361"/>
    </row>
    <row r="3" spans="2:6" ht="38.5" customHeight="1"/>
    <row r="4" spans="2:6" ht="25.5" customHeight="1" thickBot="1">
      <c r="B4" s="262" t="s">
        <v>42</v>
      </c>
      <c r="C4" s="262" t="s">
        <v>43</v>
      </c>
      <c r="D4" s="262" t="s">
        <v>44</v>
      </c>
      <c r="E4" s="262" t="s">
        <v>45</v>
      </c>
      <c r="F4" s="262" t="s">
        <v>46</v>
      </c>
    </row>
    <row r="5" spans="2:6" ht="27.65" customHeight="1" thickBot="1">
      <c r="B5" s="263" t="s">
        <v>47</v>
      </c>
      <c r="C5" s="21" t="s">
        <v>48</v>
      </c>
      <c r="D5" s="14">
        <v>0.70736111111111111</v>
      </c>
      <c r="E5" s="14">
        <v>0.27500000000000002</v>
      </c>
      <c r="F5" s="14">
        <v>0.4</v>
      </c>
    </row>
    <row r="6" spans="2:6" ht="27.65" customHeight="1" thickBot="1">
      <c r="B6" s="21" t="s">
        <v>49</v>
      </c>
      <c r="C6" s="21" t="s">
        <v>50</v>
      </c>
      <c r="D6" s="14">
        <v>0.31222222222222218</v>
      </c>
      <c r="E6" s="14">
        <v>0</v>
      </c>
      <c r="F6" s="14">
        <v>0.15</v>
      </c>
    </row>
    <row r="7" spans="2:6" ht="27.65" customHeight="1" thickBot="1">
      <c r="B7" s="21" t="s">
        <v>51</v>
      </c>
      <c r="C7" s="21" t="s">
        <v>50</v>
      </c>
      <c r="D7" s="14">
        <v>0.31944444444444436</v>
      </c>
      <c r="E7" s="14">
        <v>0</v>
      </c>
      <c r="F7" s="14">
        <v>0</v>
      </c>
    </row>
    <row r="8" spans="2:6" ht="27.65" customHeight="1" thickBot="1">
      <c r="B8" s="21" t="s">
        <v>52</v>
      </c>
      <c r="C8" s="21" t="s">
        <v>48</v>
      </c>
      <c r="D8" s="14">
        <v>0.66534090909090904</v>
      </c>
      <c r="E8" s="14">
        <v>0.375</v>
      </c>
      <c r="F8" s="14">
        <v>0.51666666666666661</v>
      </c>
    </row>
    <row r="9" spans="2:6" ht="27.65" customHeight="1" thickBot="1">
      <c r="B9" s="21" t="s">
        <v>53</v>
      </c>
      <c r="C9" s="21" t="s">
        <v>50</v>
      </c>
      <c r="D9" s="14">
        <v>0.34027777777777779</v>
      </c>
      <c r="E9" s="14">
        <v>0</v>
      </c>
      <c r="F9" s="14">
        <v>0.05</v>
      </c>
    </row>
    <row r="10" spans="2:6" ht="27.65" customHeight="1" thickBot="1">
      <c r="B10" s="21" t="s">
        <v>54</v>
      </c>
      <c r="C10" s="21" t="s">
        <v>50</v>
      </c>
      <c r="D10" s="14">
        <v>0.39358974358974363</v>
      </c>
      <c r="E10" s="14">
        <v>0.25</v>
      </c>
      <c r="F10" s="14">
        <v>0</v>
      </c>
    </row>
    <row r="11" spans="2:6" ht="27.65" customHeight="1" thickBot="1">
      <c r="B11" s="21" t="s">
        <v>55</v>
      </c>
      <c r="C11" s="21" t="s">
        <v>48</v>
      </c>
      <c r="D11" s="14">
        <v>0.5775961538461537</v>
      </c>
      <c r="E11" s="14">
        <v>0</v>
      </c>
      <c r="F11" s="14">
        <v>0.52222222222222214</v>
      </c>
    </row>
    <row r="12" spans="2:6" ht="27.65" customHeight="1" thickBot="1">
      <c r="B12" s="21" t="s">
        <v>56</v>
      </c>
      <c r="C12" s="21" t="s">
        <v>48</v>
      </c>
      <c r="D12" s="14">
        <v>0.57796717171717171</v>
      </c>
      <c r="E12" s="14">
        <v>2.5000000000000001E-2</v>
      </c>
      <c r="F12" s="14">
        <v>0.21666666666666667</v>
      </c>
    </row>
    <row r="13" spans="2:6" ht="27.65" customHeight="1" thickBot="1">
      <c r="B13" s="21" t="s">
        <v>57</v>
      </c>
      <c r="C13" s="21" t="s">
        <v>50</v>
      </c>
      <c r="D13" s="14">
        <v>0.19583333333333333</v>
      </c>
      <c r="E13" s="14">
        <v>0</v>
      </c>
      <c r="F13" s="14">
        <v>0</v>
      </c>
    </row>
    <row r="14" spans="2:6" ht="27.65" customHeight="1" thickBot="1">
      <c r="B14" s="21" t="s">
        <v>58</v>
      </c>
      <c r="C14" s="21" t="s">
        <v>48</v>
      </c>
      <c r="D14" s="14">
        <v>0.70546085858585861</v>
      </c>
      <c r="E14" s="14">
        <v>0.15625</v>
      </c>
      <c r="F14" s="14">
        <v>0.85</v>
      </c>
    </row>
    <row r="15" spans="2:6" ht="32.5" customHeight="1"/>
    <row r="16" spans="2:6"/>
  </sheetData>
  <autoFilter ref="B4:F14" xr:uid="{FC12BE37-0DC2-4B8D-A33F-F86A00187ED3}">
    <sortState xmlns:xlrd2="http://schemas.microsoft.com/office/spreadsheetml/2017/richdata2" ref="B5:F14">
      <sortCondition ref="B4:B14"/>
    </sortState>
  </autoFilter>
  <mergeCells count="1">
    <mergeCell ref="C2:F2"/>
  </mergeCells>
  <conditionalFormatting sqref="B5:C14">
    <cfRule type="cellIs" dxfId="179" priority="28" operator="equal">
      <formula>"Decline in score"</formula>
    </cfRule>
    <cfRule type="cellIs" dxfId="178" priority="29" operator="equal">
      <formula>"Improvement in score"</formula>
    </cfRule>
    <cfRule type="cellIs" dxfId="177" priority="30" operator="equal">
      <formula>"Partial"</formula>
    </cfRule>
    <cfRule type="cellIs" dxfId="176" priority="31" operator="equal">
      <formula>"N"</formula>
    </cfRule>
    <cfRule type="cellIs" dxfId="175" priority="32" operator="equal">
      <formula>"Y"</formula>
    </cfRule>
  </conditionalFormatting>
  <conditionalFormatting sqref="D5:F14">
    <cfRule type="cellIs" dxfId="174" priority="1" operator="equal">
      <formula>"Not applicable"</formula>
    </cfRule>
    <cfRule type="cellIs" dxfId="173" priority="2" operator="equal">
      <formula>"Under development"</formula>
    </cfRule>
    <cfRule type="containsBlanks" dxfId="172" priority="3">
      <formula>LEN(TRIM(D5))=0</formula>
    </cfRule>
    <cfRule type="cellIs" dxfId="171" priority="4" operator="between">
      <formula>1</formula>
      <formula>1</formula>
    </cfRule>
    <cfRule type="cellIs" dxfId="170" priority="5" operator="between">
      <formula>0.8</formula>
      <formula>0.99999</formula>
    </cfRule>
    <cfRule type="cellIs" dxfId="169" priority="6" operator="between">
      <formula>0.6</formula>
      <formula>0.799999</formula>
    </cfRule>
    <cfRule type="cellIs" dxfId="168" priority="7" operator="between">
      <formula>0.4</formula>
      <formula>0.5999999</formula>
    </cfRule>
    <cfRule type="cellIs" dxfId="167" priority="8" operator="between">
      <formula>0.2</formula>
      <formula>0.39999</formula>
    </cfRule>
    <cfRule type="cellIs" dxfId="166" priority="9" operator="between">
      <formula>0</formula>
      <formula>0.199</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870D9-4FBD-45AC-A430-6112CB1DDCB9}">
  <sheetPr>
    <tabColor rgb="FF00B0F0"/>
    <pageSetUpPr fitToPage="1"/>
  </sheetPr>
  <dimension ref="A1:DZ1346"/>
  <sheetViews>
    <sheetView zoomScaleNormal="100" workbookViewId="0">
      <pane xSplit="5" ySplit="5" topLeftCell="F6" activePane="bottomRight" state="frozen"/>
      <selection pane="topRight" activeCell="F1" sqref="F1"/>
      <selection pane="bottomLeft" activeCell="A5" sqref="A5"/>
      <selection pane="bottomRight" activeCell="C5" sqref="C5"/>
    </sheetView>
  </sheetViews>
  <sheetFormatPr defaultColWidth="0" defaultRowHeight="15" customHeight="1" outlineLevelRow="2"/>
  <cols>
    <col min="1" max="1" width="5.54296875" style="43" customWidth="1"/>
    <col min="2" max="2" width="1.453125" style="22" customWidth="1"/>
    <col min="3" max="3" width="85.81640625" style="22" customWidth="1"/>
    <col min="4" max="4" width="30.1796875" style="22" hidden="1" customWidth="1"/>
    <col min="5" max="5" width="0.26953125" style="22" customWidth="1"/>
    <col min="6" max="6" width="19.453125" style="22" customWidth="1"/>
    <col min="7" max="7" width="3.1796875" style="22" customWidth="1"/>
    <col min="8" max="8" width="19.453125" style="22" customWidth="1"/>
    <col min="9" max="9" width="3.1796875" style="22" customWidth="1"/>
    <col min="10" max="10" width="19.453125" style="22" customWidth="1"/>
    <col min="11" max="11" width="2.1796875" style="22" customWidth="1"/>
    <col min="12" max="12" width="1.54296875" style="22" customWidth="1"/>
    <col min="13" max="14" width="8.1796875" style="22" customWidth="1"/>
    <col min="15" max="120" width="0" style="23" hidden="1" customWidth="1"/>
    <col min="121" max="123" width="0" style="24" hidden="1"/>
    <col min="124" max="130" width="0" style="23" hidden="1" customWidth="1"/>
    <col min="131" max="16384" width="9.1796875" style="23" hidden="1"/>
  </cols>
  <sheetData>
    <row r="1" spans="1:123" ht="15" customHeight="1">
      <c r="F1" s="362"/>
      <c r="G1" s="362"/>
      <c r="H1" s="362"/>
      <c r="I1" s="362"/>
      <c r="J1" s="362"/>
      <c r="K1" s="362"/>
      <c r="L1" s="362"/>
      <c r="M1" s="346"/>
    </row>
    <row r="2" spans="1:123" ht="30.65" customHeight="1">
      <c r="B2" s="364"/>
      <c r="C2" s="365"/>
      <c r="F2" s="363"/>
      <c r="G2" s="363"/>
      <c r="H2" s="363"/>
      <c r="I2" s="363"/>
      <c r="J2" s="363"/>
      <c r="K2" s="363"/>
      <c r="L2" s="363"/>
      <c r="M2" s="327"/>
      <c r="O2" s="22"/>
    </row>
    <row r="3" spans="1:123" ht="11.25" customHeight="1" thickBot="1">
      <c r="B3" s="189"/>
      <c r="C3" s="188"/>
      <c r="F3" s="347"/>
      <c r="G3" s="348"/>
      <c r="H3" s="190"/>
      <c r="I3" s="191"/>
      <c r="J3" s="191"/>
      <c r="K3" s="191"/>
      <c r="L3" s="191"/>
      <c r="M3" s="191"/>
      <c r="O3" s="22"/>
    </row>
    <row r="4" spans="1:123" ht="18.649999999999999" customHeight="1" thickBot="1">
      <c r="B4" s="250"/>
      <c r="C4" s="248" t="s">
        <v>59</v>
      </c>
      <c r="D4" s="370" t="s">
        <v>60</v>
      </c>
      <c r="F4" s="370" t="s">
        <v>44</v>
      </c>
      <c r="G4" s="25"/>
      <c r="H4" s="372" t="s">
        <v>61</v>
      </c>
      <c r="I4" s="25"/>
      <c r="J4" s="370" t="s">
        <v>46</v>
      </c>
      <c r="O4" s="22"/>
    </row>
    <row r="5" spans="1:123" ht="27.65" customHeight="1" thickBot="1">
      <c r="B5" s="173"/>
      <c r="C5" s="300" t="s">
        <v>47</v>
      </c>
      <c r="D5" s="371"/>
      <c r="F5" s="371"/>
      <c r="G5" s="25"/>
      <c r="H5" s="373"/>
      <c r="I5" s="25"/>
      <c r="J5" s="371"/>
      <c r="O5" s="22"/>
    </row>
    <row r="6" spans="1:123" ht="15" customHeight="1" thickBot="1">
      <c r="D6" s="26"/>
      <c r="O6" s="22"/>
    </row>
    <row r="7" spans="1:123" ht="15" customHeight="1" thickBot="1">
      <c r="B7" s="47"/>
      <c r="C7" s="48" t="s">
        <v>62</v>
      </c>
      <c r="D7" s="41"/>
      <c r="E7" s="42"/>
      <c r="F7" s="277">
        <f>SUM(F11,F18,F30,F43,F52,F115,F146,F157,F170,F183)/COUNT(F11,F18,F30,F43,F52,F115,F146,F157,F170,F183)</f>
        <v>0.70736111111111111</v>
      </c>
      <c r="G7" s="42"/>
      <c r="H7" s="277">
        <f>SUM(H18,H30,H43,H52,H115)/COUNT(H18,H30,H43,H52,H115)</f>
        <v>0.27500000000000002</v>
      </c>
      <c r="I7" s="42"/>
      <c r="J7" s="277">
        <f>SUM(J52,J115)/COUNT(J52,J115)</f>
        <v>0.4</v>
      </c>
      <c r="K7" s="42"/>
      <c r="L7" s="328"/>
      <c r="O7" s="22"/>
    </row>
    <row r="8" spans="1:123" ht="7.5" customHeight="1">
      <c r="C8" s="368"/>
      <c r="D8" s="26"/>
      <c r="F8" s="27"/>
      <c r="G8" s="27"/>
      <c r="H8" s="27"/>
      <c r="I8" s="27"/>
      <c r="J8" s="27"/>
      <c r="O8" s="22"/>
    </row>
    <row r="9" spans="1:123" ht="16" customHeight="1" thickBot="1">
      <c r="A9" s="44"/>
      <c r="C9" s="369"/>
      <c r="F9" s="45"/>
      <c r="G9" s="45"/>
      <c r="H9" s="45"/>
      <c r="I9" s="45"/>
      <c r="J9" s="45"/>
      <c r="O9" s="22"/>
    </row>
    <row r="10" spans="1:123" ht="7.5" customHeight="1">
      <c r="A10" s="296"/>
      <c r="B10" s="88"/>
      <c r="C10" s="89"/>
      <c r="D10" s="89"/>
      <c r="E10" s="89"/>
      <c r="F10" s="90"/>
      <c r="G10" s="90"/>
      <c r="H10" s="90"/>
      <c r="I10" s="90"/>
      <c r="J10" s="90"/>
      <c r="K10" s="89"/>
      <c r="L10" s="293"/>
      <c r="O10" s="22"/>
    </row>
    <row r="11" spans="1:123" ht="15" customHeight="1">
      <c r="A11" s="297">
        <v>1</v>
      </c>
      <c r="B11" s="30"/>
      <c r="C11" s="91" t="s">
        <v>63</v>
      </c>
      <c r="D11" s="92" t="s">
        <v>64</v>
      </c>
      <c r="F11" s="278">
        <f>SUM(F13)/COUNT(F13)</f>
        <v>1</v>
      </c>
      <c r="G11" s="45"/>
      <c r="H11" s="279"/>
      <c r="I11" s="45"/>
      <c r="J11" s="279"/>
      <c r="L11" s="294"/>
      <c r="O11" s="22"/>
    </row>
    <row r="12" spans="1:123" s="22" customFormat="1" ht="15" customHeight="1">
      <c r="A12" s="298"/>
      <c r="B12" s="32"/>
      <c r="C12" s="93"/>
      <c r="D12" s="94"/>
      <c r="F12" s="87"/>
      <c r="G12" s="45"/>
      <c r="H12" s="45"/>
      <c r="I12" s="45"/>
      <c r="J12" s="45"/>
      <c r="L12" s="294"/>
      <c r="DQ12" s="24"/>
      <c r="DR12" s="24"/>
      <c r="DS12" s="24"/>
    </row>
    <row r="13" spans="1:123" ht="15" customHeight="1" outlineLevel="1">
      <c r="A13" s="297">
        <v>1.1000000000000001</v>
      </c>
      <c r="B13" s="33"/>
      <c r="C13" s="93" t="s">
        <v>65</v>
      </c>
      <c r="D13" s="94" t="s">
        <v>64</v>
      </c>
      <c r="F13" s="280">
        <f>SUM(F14:F15) / COUNTIF(F14:F15,"&lt;&gt;n/a")</f>
        <v>1</v>
      </c>
      <c r="G13" s="279"/>
      <c r="H13" s="279"/>
      <c r="I13" s="279"/>
      <c r="J13" s="281" t="str">
        <f>IF(OR(INDEX('NZS O&amp;G and CA100'!$D$5:$D$193, MATCH('Company Scorecard - select'!$A13, 'NZS O&amp;G and CA100'!$B$5:$B$193, 0)) = "Climate Solutions", INDEX('NZS O&amp;G and CA100'!$D$5:$D$193, MATCH('Company Scorecard - select'!$A13, 'NZS O&amp;G and CA100'!$B$5:$B$193, 0)) = "Solutions (Al)"), INDEX('NZS O&amp;G and CA100'!$E$5:$N$193, MATCH('Company Scorecard - select'!$A13, 'NZS O&amp;G and CA100'!$B$5:$B$193, 0),MATCH('Company Scorecard - select'!$C$5, 'NZS O&amp;G and CA100'!$E$3:$N$3, 0)),"")</f>
        <v/>
      </c>
      <c r="L13" s="294"/>
      <c r="O13" s="22"/>
    </row>
    <row r="14" spans="1:123" ht="15" customHeight="1" outlineLevel="2">
      <c r="A14" s="298" t="str">
        <f>LEFT(C14,FIND(":",C14)-1)</f>
        <v>1.1.a</v>
      </c>
      <c r="B14" s="367"/>
      <c r="C14" s="95" t="s">
        <v>66</v>
      </c>
      <c r="D14" s="94" t="s">
        <v>67</v>
      </c>
      <c r="F14" s="280">
        <f>IF(INDEX('NZS O&amp;G and CA100'!$D$5:$D$193, MATCH('Company Scorecard - select'!$A14, 'NZS O&amp;G and CA100'!$B$5:$B$193, 0)) = "Disclosure", INDEX('NZS O&amp;G and CA100'!$E$5:$N$193, MATCH('Company Scorecard - select'!$A14, 'NZS O&amp;G and CA100'!$B$5:$B$193, 0),MATCH('Company Scorecard - select'!$C$5, 'NZS O&amp;G and CA100'!$E$3:$N$3, 0)),"N/A")</f>
        <v>1</v>
      </c>
      <c r="G14" s="279"/>
      <c r="H14" s="280" t="str">
        <f>IF(INDEX('NZS O&amp;G and CA100'!$D$5:$D$193, MATCH('Company Scorecard - select'!$A14, 'NZS O&amp;G and CA100'!$B$5:$B$193, 0)) = "Alignment", INDEX('NZS O&amp;G and CA100'!$E$5:$N$193, MATCH('Company Scorecard - select'!$A14, 'NZS O&amp;G and CA100'!$B$5:$B$193, 0),MATCH('Company Scorecard - select'!$C$5, 'NZS O&amp;G and CA100'!$E$3:$N$3, 0)),"")</f>
        <v/>
      </c>
      <c r="I14" s="279"/>
      <c r="J14" s="281" t="str">
        <f>IF(OR(INDEX('NZS O&amp;G and CA100'!$D$5:$D$193, MATCH('Company Scorecard - select'!$A14, 'NZS O&amp;G and CA100'!$B$5:$B$193, 0)) = "Climate Solutions", INDEX('NZS O&amp;G and CA100'!$D$5:$D$193, MATCH('Company Scorecard - select'!$A14, 'NZS O&amp;G and CA100'!$B$5:$B$193, 0)) = "Solutions (Al)"), INDEX('NZS O&amp;G and CA100'!$E$5:$N$193, MATCH('Company Scorecard - select'!$A14, 'NZS O&amp;G and CA100'!$B$5:$B$193, 0),MATCH('Company Scorecard - select'!$C$5, 'NZS O&amp;G and CA100'!$E$3:$N$3, 0)),"")</f>
        <v/>
      </c>
      <c r="L14" s="294"/>
      <c r="O14" s="22"/>
    </row>
    <row r="15" spans="1:123" ht="15" customHeight="1" outlineLevel="2">
      <c r="A15" s="298" t="str">
        <f>LEFT(C15,FIND(":",C15)-1)</f>
        <v>1.1.b</v>
      </c>
      <c r="B15" s="367"/>
      <c r="C15" s="95" t="s">
        <v>68</v>
      </c>
      <c r="D15" s="94" t="s">
        <v>69</v>
      </c>
      <c r="F15" s="280">
        <f>IF(INDEX('NZS O&amp;G and CA100'!$D$5:$D$193, MATCH('Company Scorecard - select'!$A15, 'NZS O&amp;G and CA100'!$B$5:$B$193, 0)) = "Disclosure", INDEX('NZS O&amp;G and CA100'!$E$5:$N$193, MATCH('Company Scorecard - select'!$A15, 'NZS O&amp;G and CA100'!$B$5:$B$193, 0),MATCH('Company Scorecard - select'!$C$5, 'NZS O&amp;G and CA100'!$E$3:$N$3, 0)),"N/A")</f>
        <v>1</v>
      </c>
      <c r="G15" s="279"/>
      <c r="H15" s="280" t="str">
        <f>IF(INDEX('NZS O&amp;G and CA100'!$D$5:$D$193, MATCH('Company Scorecard - select'!$A15, 'NZS O&amp;G and CA100'!$B$5:$B$193, 0)) = "Alignment", INDEX('NZS O&amp;G and CA100'!$E$5:$N$193, MATCH('Company Scorecard - select'!$A15, 'NZS O&amp;G and CA100'!$B$5:$B$193, 0),MATCH('Company Scorecard - select'!$C$5, 'NZS O&amp;G and CA100'!$E$3:$N$3, 0)),"")</f>
        <v/>
      </c>
      <c r="I15" s="279"/>
      <c r="J15" s="281" t="str">
        <f>IF(OR(INDEX('NZS O&amp;G and CA100'!$D$5:$D$193, MATCH('Company Scorecard - select'!$A15, 'NZS O&amp;G and CA100'!$B$5:$B$193, 0)) = "Climate Solutions", INDEX('NZS O&amp;G and CA100'!$D$5:$D$193, MATCH('Company Scorecard - select'!$A15, 'NZS O&amp;G and CA100'!$B$5:$B$193, 0)) = "Solutions (Al)"), INDEX('NZS O&amp;G and CA100'!$E$5:$N$193, MATCH('Company Scorecard - select'!$A15, 'NZS O&amp;G and CA100'!$B$5:$B$193, 0),MATCH('Company Scorecard - select'!$C$5, 'NZS O&amp;G and CA100'!$E$3:$N$3, 0)),"")</f>
        <v/>
      </c>
      <c r="L15" s="294"/>
      <c r="O15" s="22"/>
    </row>
    <row r="16" spans="1:123" s="22" customFormat="1" ht="7.5" customHeight="1" thickBot="1">
      <c r="A16" s="296"/>
      <c r="B16" s="34"/>
      <c r="C16" s="35"/>
      <c r="D16" s="29" t="s">
        <v>70</v>
      </c>
      <c r="E16" s="29"/>
      <c r="F16" s="282"/>
      <c r="G16" s="282"/>
      <c r="H16" s="282"/>
      <c r="I16" s="282"/>
      <c r="J16" s="282"/>
      <c r="K16" s="29"/>
      <c r="L16" s="295"/>
      <c r="M16" s="45"/>
      <c r="DQ16" s="24"/>
      <c r="DR16" s="24"/>
      <c r="DS16" s="24"/>
    </row>
    <row r="17" spans="1:123" ht="7.5" customHeight="1">
      <c r="A17" s="296"/>
      <c r="B17" s="30"/>
      <c r="D17" s="22" t="s">
        <v>70</v>
      </c>
      <c r="F17" s="279"/>
      <c r="G17" s="279"/>
      <c r="H17" s="279"/>
      <c r="I17" s="279"/>
      <c r="J17" s="279"/>
      <c r="K17" s="86"/>
      <c r="L17" s="294"/>
      <c r="O17" s="22"/>
    </row>
    <row r="18" spans="1:123" ht="15" customHeight="1">
      <c r="A18" s="297">
        <v>2</v>
      </c>
      <c r="B18" s="33"/>
      <c r="C18" s="91" t="s">
        <v>71</v>
      </c>
      <c r="D18" s="92" t="s">
        <v>64</v>
      </c>
      <c r="F18" s="278">
        <f>SUM(F20,F21)/COUNT(F20,F21)</f>
        <v>1</v>
      </c>
      <c r="G18" s="279"/>
      <c r="H18" s="278">
        <f>SUM(H21,H27)/COUNT(H21,H27)</f>
        <v>1</v>
      </c>
      <c r="I18" s="279"/>
      <c r="J18" s="279"/>
      <c r="L18" s="294"/>
      <c r="O18" s="22"/>
    </row>
    <row r="19" spans="1:123" ht="15" customHeight="1">
      <c r="A19" s="297"/>
      <c r="B19" s="33"/>
      <c r="C19" s="91"/>
      <c r="D19" s="92"/>
      <c r="F19" s="278"/>
      <c r="G19" s="279"/>
      <c r="H19" s="278"/>
      <c r="I19" s="279"/>
      <c r="J19" s="279"/>
      <c r="L19" s="294"/>
      <c r="O19" s="22"/>
    </row>
    <row r="20" spans="1:123" ht="15" customHeight="1" outlineLevel="1">
      <c r="A20" s="297">
        <v>2.1</v>
      </c>
      <c r="B20" s="33"/>
      <c r="C20" s="93" t="s">
        <v>72</v>
      </c>
      <c r="D20" s="94" t="s">
        <v>67</v>
      </c>
      <c r="F20" s="280">
        <f>IF(INDEX('NZS O&amp;G and CA100'!$D$5:$D$193, MATCH('Company Scorecard - select'!$A20, 'NZS O&amp;G and CA100'!$B$5:$B$193, 0)) = "Disclosure", INDEX('NZS O&amp;G and CA100'!$E$5:$N$193, MATCH('Company Scorecard - select'!$A20, 'NZS O&amp;G and CA100'!$B$5:$B$193, 0),MATCH('Company Scorecard - select'!$C$5, 'NZS O&amp;G and CA100'!$E$3:$N$3, 0)),"N/A")</f>
        <v>1</v>
      </c>
      <c r="G20" s="279"/>
      <c r="H20" s="280" t="str">
        <f>IF(INDEX('NZS O&amp;G and CA100'!$D$5:$D$193, MATCH('Company Scorecard - select'!$A20, 'NZS O&amp;G and CA100'!$B$5:$B$193, 0)) = "Alignment", INDEX('NZS O&amp;G and CA100'!$E$5:$N$193, MATCH('Company Scorecard - select'!$A20, 'NZS O&amp;G and CA100'!$B$5:$B$193, 0),MATCH('Company Scorecard - select'!$C$5, 'NZS O&amp;G and CA100'!$E$3:$N$3, 0)),"")</f>
        <v/>
      </c>
      <c r="I20" s="279"/>
      <c r="J20" s="281" t="str">
        <f>IF(OR(INDEX('NZS O&amp;G and CA100'!$D$5:$D$193, MATCH('Company Scorecard - select'!$A20, 'NZS O&amp;G and CA100'!$B$5:$B$193, 0)) = "Climate Solutions", INDEX('NZS O&amp;G and CA100'!$D$5:$D$193, MATCH('Company Scorecard - select'!$A20, 'NZS O&amp;G and CA100'!$B$5:$B$193, 0)) = "Solutions (Al)"), INDEX('NZS O&amp;G and CA100'!$E$5:$N$193, MATCH('Company Scorecard - select'!$A20, 'NZS O&amp;G and CA100'!$B$5:$B$193, 0),MATCH('Company Scorecard - select'!$C$5, 'NZS O&amp;G and CA100'!$E$3:$N$3, 0)),"")</f>
        <v/>
      </c>
      <c r="L20" s="294"/>
      <c r="O20" s="22"/>
    </row>
    <row r="21" spans="1:123" ht="15" customHeight="1" outlineLevel="1">
      <c r="A21" s="297">
        <v>2.2000000000000002</v>
      </c>
      <c r="B21" s="33"/>
      <c r="C21" s="96" t="s">
        <v>73</v>
      </c>
      <c r="D21" s="94" t="s">
        <v>64</v>
      </c>
      <c r="F21" s="280">
        <f>SUM(F22,F24,F25) / COUNT(F22,F24,F25)</f>
        <v>1</v>
      </c>
      <c r="G21" s="279"/>
      <c r="H21" s="280" t="str">
        <f>IF(AND(H23="Under development",H26="Under development"),"Under development", AVERAGE(H23,H26))</f>
        <v>Under development</v>
      </c>
      <c r="I21" s="279"/>
      <c r="J21" s="281" t="str">
        <f>IF(OR(INDEX('NZS O&amp;G and CA100'!$D$5:$D$193, MATCH('Company Scorecard - select'!$A21, 'NZS O&amp;G and CA100'!$B$5:$B$193, 0)) = "Climate Solutions", INDEX('NZS O&amp;G and CA100'!$D$5:$D$193, MATCH('Company Scorecard - select'!$A21, 'NZS O&amp;G and CA100'!$B$5:$B$193, 0)) = "Solutions (Al)"), INDEX('NZS O&amp;G and CA100'!$E$5:$N$193, MATCH('Company Scorecard - select'!$A21, 'NZS O&amp;G and CA100'!$B$5:$B$193, 0),MATCH('Company Scorecard - select'!$C$5, 'NZS O&amp;G and CA100'!$E$3:$N$3, 0)),"")</f>
        <v/>
      </c>
      <c r="L21" s="294"/>
      <c r="O21" s="22"/>
    </row>
    <row r="22" spans="1:123" ht="15" customHeight="1" outlineLevel="2">
      <c r="A22" s="298" t="str">
        <f>LEFT(C22,FIND(":",C22)-1)</f>
        <v>2.2.a</v>
      </c>
      <c r="B22" s="33"/>
      <c r="C22" s="95" t="s">
        <v>74</v>
      </c>
      <c r="D22" s="94" t="s">
        <v>67</v>
      </c>
      <c r="F22" s="280">
        <f>IF(INDEX('NZS O&amp;G and CA100'!$D$5:$D$193, MATCH('Company Scorecard - select'!$A22, 'NZS O&amp;G and CA100'!$B$5:$B$193, 0)) = "Disclosure", INDEX('NZS O&amp;G and CA100'!$E$5:$N$193, MATCH('Company Scorecard - select'!$A22, 'NZS O&amp;G and CA100'!$B$5:$B$193, 0),MATCH('Company Scorecard - select'!$C$5, 'NZS O&amp;G and CA100'!$E$3:$N$3, 0)),"")</f>
        <v>1</v>
      </c>
      <c r="G22" s="279"/>
      <c r="H22" s="280" t="str">
        <f>IF(INDEX('NZS O&amp;G and CA100'!$D$5:$D$193, MATCH('Company Scorecard - select'!$A22, 'NZS O&amp;G and CA100'!$B$5:$B$193, 0)) = "Alignment", INDEX('NZS O&amp;G and CA100'!$E$5:$N$193, MATCH('Company Scorecard - select'!$A22, 'NZS O&amp;G and CA100'!$B$5:$B$193, 0),MATCH('Company Scorecard - select'!$C$5, 'NZS O&amp;G and CA100'!$E$3:$N$3, 0)),"")</f>
        <v/>
      </c>
      <c r="I22" s="279"/>
      <c r="J22" s="281" t="str">
        <f>IF(OR(INDEX('NZS O&amp;G and CA100'!$D$5:$D$193, MATCH('Company Scorecard - select'!$A22, 'NZS O&amp;G and CA100'!$B$5:$B$193, 0)) = "Climate Solutions", INDEX('NZS O&amp;G and CA100'!$D$5:$D$193, MATCH('Company Scorecard - select'!$A22, 'NZS O&amp;G and CA100'!$B$5:$B$193, 0)) = "Solutions (Al)"), INDEX('NZS O&amp;G and CA100'!$E$5:$N$193, MATCH('Company Scorecard - select'!$A22, 'NZS O&amp;G and CA100'!$B$5:$B$193, 0),MATCH('Company Scorecard - select'!$C$5, 'NZS O&amp;G and CA100'!$E$3:$N$3, 0)),"")</f>
        <v/>
      </c>
      <c r="L22" s="294"/>
      <c r="O22" s="22"/>
    </row>
    <row r="23" spans="1:123" ht="15" customHeight="1" outlineLevel="2">
      <c r="A23" s="298" t="str">
        <f>LEFT(C23,FIND(":",C23)-1)</f>
        <v>2.i.a</v>
      </c>
      <c r="B23" s="33"/>
      <c r="C23" s="97" t="s">
        <v>75</v>
      </c>
      <c r="D23" s="94" t="s">
        <v>70</v>
      </c>
      <c r="E23" s="22" t="s">
        <v>76</v>
      </c>
      <c r="F23" s="280" t="str">
        <f>IF(INDEX('NZS O&amp;G and CA100'!$D$5:$D$193, MATCH('Company Scorecard - select'!$A23, 'NZS O&amp;G and CA100'!$B$5:$B$193, 0)) = "Disclosure", INDEX('NZS O&amp;G and CA100'!$E$5:$N$193, MATCH('Company Scorecard - select'!$A23, 'NZS O&amp;G and CA100'!$B$5:$B$193, 0),MATCH('Company Scorecard - select'!$C$5, 'NZS O&amp;G and CA100'!$E$3:$N$3, 0)),"")</f>
        <v/>
      </c>
      <c r="G23" s="279"/>
      <c r="H23" s="280" t="str">
        <f>IF(INDEX('NZS O&amp;G and CA100'!$D$5:$D$193, MATCH('Company Scorecard - select'!$A23, 'NZS O&amp;G and CA100'!$B$5:$B$193, 0)) = "Alignment", INDEX('NZS O&amp;G and CA100'!$E$5:$N$193, MATCH('Company Scorecard - select'!$A23, 'NZS O&amp;G and CA100'!$B$5:$B$193, 0),MATCH('Company Scorecard - select'!$C$5, 'NZS O&amp;G and CA100'!$E$3:$N$3, 0)),"")</f>
        <v>Under development</v>
      </c>
      <c r="I23" s="279"/>
      <c r="J23" s="281" t="str">
        <f>IF(OR(INDEX('NZS O&amp;G and CA100'!$D$5:$D$193, MATCH('Company Scorecard - select'!$A23, 'NZS O&amp;G and CA100'!$B$5:$B$193, 0)) = "Climate Solutions", INDEX('NZS O&amp;G and CA100'!$D$5:$D$193, MATCH('Company Scorecard - select'!$A23, 'NZS O&amp;G and CA100'!$B$5:$B$193, 0)) = "Solutions (Al)"), INDEX('NZS O&amp;G and CA100'!$E$5:$N$193, MATCH('Company Scorecard - select'!$A23, 'NZS O&amp;G and CA100'!$B$5:$B$193, 0),MATCH('Company Scorecard - select'!$C$5, 'NZS O&amp;G and CA100'!$E$3:$N$3, 0)),"")</f>
        <v/>
      </c>
      <c r="K23" s="22" t="s">
        <v>76</v>
      </c>
      <c r="L23" s="294"/>
      <c r="O23" s="22"/>
    </row>
    <row r="24" spans="1:123" ht="15" customHeight="1" outlineLevel="2">
      <c r="A24" s="298" t="str">
        <f t="shared" ref="A24:A26" si="0">LEFT(C24,FIND(":",C24)-1)</f>
        <v>2.2.b</v>
      </c>
      <c r="B24" s="33"/>
      <c r="C24" s="95" t="s">
        <v>77</v>
      </c>
      <c r="D24" s="94" t="s">
        <v>69</v>
      </c>
      <c r="F24" s="280">
        <f>IF(INDEX('NZS O&amp;G and CA100'!$D$5:$D$193, MATCH('Company Scorecard - select'!$A24, 'NZS O&amp;G and CA100'!$B$5:$B$193, 0)) = "Disclosure", INDEX('NZS O&amp;G and CA100'!$E$5:$N$193, MATCH('Company Scorecard - select'!$A24, 'NZS O&amp;G and CA100'!$B$5:$B$193, 0),MATCH('Company Scorecard - select'!$C$5, 'NZS O&amp;G and CA100'!$E$3:$N$3, 0)),"N/A")</f>
        <v>1</v>
      </c>
      <c r="G24" s="279"/>
      <c r="H24" s="280" t="str">
        <f>IF(INDEX('NZS O&amp;G and CA100'!$D$5:$D$193, MATCH('Company Scorecard - select'!$A24, 'NZS O&amp;G and CA100'!$B$5:$B$193, 0)) = "Alignment", INDEX('NZS O&amp;G and CA100'!$E$5:$N$193, MATCH('Company Scorecard - select'!$A24, 'NZS O&amp;G and CA100'!$B$5:$B$193, 0),MATCH('Company Scorecard - select'!$C$5, 'NZS O&amp;G and CA100'!$E$3:$N$3, 0)),"")</f>
        <v/>
      </c>
      <c r="I24" s="279"/>
      <c r="J24" s="281" t="str">
        <f>IF(OR(INDEX('NZS O&amp;G and CA100'!$D$5:$D$193, MATCH('Company Scorecard - select'!$A24, 'NZS O&amp;G and CA100'!$B$5:$B$193, 0)) = "Climate Solutions", INDEX('NZS O&amp;G and CA100'!$D$5:$D$193, MATCH('Company Scorecard - select'!$A24, 'NZS O&amp;G and CA100'!$B$5:$B$193, 0)) = "Solutions (Al)"), INDEX('NZS O&amp;G and CA100'!$E$5:$N$193, MATCH('Company Scorecard - select'!$A24, 'NZS O&amp;G and CA100'!$B$5:$B$193, 0),MATCH('Company Scorecard - select'!$C$5, 'NZS O&amp;G and CA100'!$E$3:$N$3, 0)),"")</f>
        <v/>
      </c>
      <c r="K24" s="22" t="s">
        <v>76</v>
      </c>
      <c r="L24" s="294"/>
      <c r="O24" s="22"/>
    </row>
    <row r="25" spans="1:123" ht="15" customHeight="1" outlineLevel="2">
      <c r="A25" s="298" t="str">
        <f t="shared" si="0"/>
        <v>2.ii.a</v>
      </c>
      <c r="B25" s="36"/>
      <c r="C25" s="97" t="s">
        <v>78</v>
      </c>
      <c r="D25" s="94" t="s">
        <v>70</v>
      </c>
      <c r="E25" s="22" t="s">
        <v>76</v>
      </c>
      <c r="F25" s="280">
        <f>IF(INDEX('NZS O&amp;G and CA100'!$D$5:$D$193, MATCH('Company Scorecard - select'!$A25, 'NZS O&amp;G and CA100'!$B$5:$B$193, 0)) = "Disclosure", INDEX('NZS O&amp;G and CA100'!$E$5:$N$193, MATCH('Company Scorecard - select'!$A25, 'NZS O&amp;G and CA100'!$B$5:$B$193, 0),MATCH('Company Scorecard - select'!$C$5, 'NZS O&amp;G and CA100'!$E$3:$N$3, 0)),"N/A")</f>
        <v>1</v>
      </c>
      <c r="G25" s="279"/>
      <c r="H25" s="280" t="str">
        <f>IF(INDEX('NZS O&amp;G and CA100'!$D$5:$D$193, MATCH('Company Scorecard - select'!$A25, 'NZS O&amp;G and CA100'!$B$5:$B$193, 0)) = "Alignment", INDEX('NZS O&amp;G and CA100'!$E$5:$N$193, MATCH('Company Scorecard - select'!$A25, 'NZS O&amp;G and CA100'!$B$5:$B$193, 0),MATCH('Company Scorecard - select'!$C$5, 'NZS O&amp;G and CA100'!$E$3:$N$3, 0)),"")</f>
        <v/>
      </c>
      <c r="I25" s="279"/>
      <c r="J25" s="281" t="str">
        <f>IF(OR(INDEX('NZS O&amp;G and CA100'!$D$5:$D$193, MATCH('Company Scorecard - select'!$A25, 'NZS O&amp;G and CA100'!$B$5:$B$193, 0)) = "Climate Solutions", INDEX('NZS O&amp;G and CA100'!$D$5:$D$193, MATCH('Company Scorecard - select'!$A25, 'NZS O&amp;G and CA100'!$B$5:$B$193, 0)) = "Solutions (Al)"), INDEX('NZS O&amp;G and CA100'!$E$5:$N$193, MATCH('Company Scorecard - select'!$A25, 'NZS O&amp;G and CA100'!$B$5:$B$193, 0),MATCH('Company Scorecard - select'!$C$5, 'NZS O&amp;G and CA100'!$E$3:$N$3, 0)),"")</f>
        <v/>
      </c>
      <c r="K25" s="22" t="s">
        <v>76</v>
      </c>
      <c r="L25" s="294"/>
      <c r="M25" s="22" t="s">
        <v>76</v>
      </c>
      <c r="N25" s="22" t="s">
        <v>76</v>
      </c>
      <c r="O25" s="22"/>
    </row>
    <row r="26" spans="1:123" ht="15" customHeight="1" outlineLevel="2">
      <c r="A26" s="298" t="str">
        <f t="shared" si="0"/>
        <v>2.ii.b</v>
      </c>
      <c r="B26" s="33"/>
      <c r="C26" s="97" t="s">
        <v>79</v>
      </c>
      <c r="D26" s="94" t="s">
        <v>70</v>
      </c>
      <c r="F26" s="280" t="str">
        <f>IF(INDEX('NZS O&amp;G and CA100'!$D$5:$D$193, MATCH('Company Scorecard - select'!$A26, 'NZS O&amp;G and CA100'!$B$5:$B$193, 0)) = "Disclosure", INDEX('NZS O&amp;G and CA100'!$E$5:$N$193, MATCH('Company Scorecard - select'!$A26, 'NZS O&amp;G and CA100'!$B$5:$B$193, 0),MATCH('Company Scorecard - select'!$C$5, 'NZS O&amp;G and CA100'!$E$3:$N$3, 0)),"")</f>
        <v/>
      </c>
      <c r="G26" s="279"/>
      <c r="H26" s="280" t="str">
        <f>IF(INDEX('NZS O&amp;G and CA100'!$D$5:$D$193, MATCH('Company Scorecard - select'!$A26, 'NZS O&amp;G and CA100'!$B$5:$B$193, 0)) = "Alignment", INDEX('NZS O&amp;G and CA100'!$E$5:$N$193, MATCH('Company Scorecard - select'!$A26, 'NZS O&amp;G and CA100'!$B$5:$B$193, 0),MATCH('Company Scorecard - select'!$C$5, 'NZS O&amp;G and CA100'!$E$3:$N$3, 0)),"")</f>
        <v>Under development</v>
      </c>
      <c r="I26" s="279"/>
      <c r="J26" s="281" t="str">
        <f>IF(OR(INDEX('NZS O&amp;G and CA100'!$D$5:$D$193, MATCH('Company Scorecard - select'!$A26, 'NZS O&amp;G and CA100'!$B$5:$B$193, 0)) = "Climate Solutions", INDEX('NZS O&amp;G and CA100'!$D$5:$D$193, MATCH('Company Scorecard - select'!$A26, 'NZS O&amp;G and CA100'!$B$5:$B$193, 0)) = "Solutions (Al)"), INDEX('NZS O&amp;G and CA100'!$E$5:$N$193, MATCH('Company Scorecard - select'!$A26, 'NZS O&amp;G and CA100'!$B$5:$B$193, 0),MATCH('Company Scorecard - select'!$C$5, 'NZS O&amp;G and CA100'!$E$3:$N$3, 0)),"")</f>
        <v/>
      </c>
      <c r="K26" s="22" t="s">
        <v>76</v>
      </c>
      <c r="L26" s="294"/>
      <c r="N26" s="22" t="s">
        <v>76</v>
      </c>
      <c r="O26" s="22"/>
    </row>
    <row r="27" spans="1:123" ht="15" customHeight="1" outlineLevel="1">
      <c r="A27" s="297">
        <v>2.2999999999999998</v>
      </c>
      <c r="B27" s="33"/>
      <c r="C27" s="93" t="s">
        <v>80</v>
      </c>
      <c r="D27" s="94" t="s">
        <v>69</v>
      </c>
      <c r="F27" s="280" t="str">
        <f>IF(INDEX('NZS O&amp;G and CA100'!$D$5:$D$193, MATCH('Company Scorecard - select'!$A27, 'NZS O&amp;G and CA100'!$B$5:$B$193, 0)) = "Disclosure", INDEX('NZS O&amp;G and CA100'!$E$5:$N$193, MATCH('Company Scorecard - select'!$A27, 'NZS O&amp;G and CA100'!$B$5:$B$193, 0),MATCH('Company Scorecard - select'!$C$5, 'NZS O&amp;G and CA100'!$E$3:$N$3, 0)),"")</f>
        <v/>
      </c>
      <c r="G27" s="279"/>
      <c r="H27" s="280">
        <f>IF(INDEX('NZS O&amp;G and CA100'!$D$5:$D$193, MATCH('Company Scorecard - select'!$A27, 'NZS O&amp;G and CA100'!$B$5:$B$193, 0)) = "Alignment", INDEX('NZS O&amp;G and CA100'!$E$5:$N$193, MATCH('Company Scorecard - select'!$A27, 'NZS O&amp;G and CA100'!$B$5:$B$193, 0),MATCH('Company Scorecard - select'!$C$5, 'NZS O&amp;G and CA100'!$E$3:$N$3, 0)),"")</f>
        <v>1</v>
      </c>
      <c r="I27" s="279"/>
      <c r="J27" s="281" t="str">
        <f>IF(OR(INDEX('NZS O&amp;G and CA100'!$D$5:$D$193, MATCH('Company Scorecard - select'!$A27, 'NZS O&amp;G and CA100'!$B$5:$B$193, 0)) = "Climate Solutions", INDEX('NZS O&amp;G and CA100'!$D$5:$D$193, MATCH('Company Scorecard - select'!$A27, 'NZS O&amp;G and CA100'!$B$5:$B$193, 0)) = "Solutions (Al)"), INDEX('NZS O&amp;G and CA100'!$E$5:$N$193, MATCH('Company Scorecard - select'!$A27, 'NZS O&amp;G and CA100'!$B$5:$B$193, 0),MATCH('Company Scorecard - select'!$C$5, 'NZS O&amp;G and CA100'!$E$3:$N$3, 0)),"")</f>
        <v/>
      </c>
      <c r="L27" s="294"/>
      <c r="N27" s="22" t="s">
        <v>76</v>
      </c>
      <c r="O27" s="22"/>
    </row>
    <row r="28" spans="1:123" s="22" customFormat="1" ht="7.5" customHeight="1" thickBot="1">
      <c r="A28" s="296"/>
      <c r="B28" s="34"/>
      <c r="C28" s="35"/>
      <c r="D28" s="29" t="s">
        <v>70</v>
      </c>
      <c r="E28" s="29"/>
      <c r="F28" s="282"/>
      <c r="G28" s="282"/>
      <c r="H28" s="282"/>
      <c r="I28" s="282"/>
      <c r="J28" s="283"/>
      <c r="K28" s="28"/>
      <c r="L28" s="295"/>
      <c r="N28" s="22" t="s">
        <v>76</v>
      </c>
      <c r="DQ28" s="24"/>
      <c r="DR28" s="24"/>
      <c r="DS28" s="24"/>
    </row>
    <row r="29" spans="1:123" ht="7.5" customHeight="1">
      <c r="A29" s="296"/>
      <c r="B29" s="30"/>
      <c r="C29" s="22" t="s">
        <v>81</v>
      </c>
      <c r="D29" s="22" t="s">
        <v>70</v>
      </c>
      <c r="F29" s="279"/>
      <c r="G29" s="279"/>
      <c r="H29" s="279"/>
      <c r="I29" s="279"/>
      <c r="J29" s="279"/>
      <c r="K29" s="86"/>
      <c r="L29" s="294"/>
      <c r="N29" s="22" t="s">
        <v>76</v>
      </c>
      <c r="O29" s="22"/>
    </row>
    <row r="30" spans="1:123" ht="15" customHeight="1">
      <c r="A30" s="297">
        <v>3</v>
      </c>
      <c r="B30" s="33"/>
      <c r="C30" s="91" t="s">
        <v>82</v>
      </c>
      <c r="D30" s="92" t="s">
        <v>64</v>
      </c>
      <c r="F30" s="278">
        <f>SUM(F32,F33)/COUNT(F32,F33)</f>
        <v>1</v>
      </c>
      <c r="G30" s="279"/>
      <c r="H30" s="278">
        <f>SUM(H33,H39,H40)/COUNT(H33,H39,H40)</f>
        <v>0</v>
      </c>
      <c r="I30" s="279"/>
      <c r="J30" s="279"/>
      <c r="L30" s="294"/>
      <c r="N30" s="22" t="s">
        <v>76</v>
      </c>
      <c r="O30" s="22"/>
    </row>
    <row r="31" spans="1:123" s="22" customFormat="1" ht="15" customHeight="1">
      <c r="A31" s="298"/>
      <c r="B31" s="32"/>
      <c r="C31" s="96"/>
      <c r="D31" s="94"/>
      <c r="F31" s="280"/>
      <c r="G31" s="279"/>
      <c r="H31" s="279"/>
      <c r="I31" s="279"/>
      <c r="J31" s="279"/>
      <c r="L31" s="294"/>
      <c r="N31" s="22" t="s">
        <v>76</v>
      </c>
      <c r="DQ31" s="24"/>
      <c r="DR31" s="24"/>
      <c r="DS31" s="24"/>
    </row>
    <row r="32" spans="1:123" ht="15" customHeight="1" outlineLevel="1">
      <c r="A32" s="297">
        <v>3.1</v>
      </c>
      <c r="B32" s="33"/>
      <c r="C32" s="98" t="s">
        <v>83</v>
      </c>
      <c r="D32" s="94" t="s">
        <v>67</v>
      </c>
      <c r="F32" s="280">
        <f>IF(INDEX('NZS O&amp;G and CA100'!$D$5:$D$193, MATCH('Company Scorecard - select'!$A32, 'NZS O&amp;G and CA100'!$B$5:$B$193, 0)) = "Disclosure", INDEX('NZS O&amp;G and CA100'!$E$5:$N$193, MATCH('Company Scorecard - select'!$A32, 'NZS O&amp;G and CA100'!$B$5:$B$193, 0),MATCH('Company Scorecard - select'!$C$5, 'NZS O&amp;G and CA100'!$E$3:$N$3, 0)),"N/A")</f>
        <v>1</v>
      </c>
      <c r="G32" s="279"/>
      <c r="H32" s="280" t="str">
        <f>IF(INDEX('NZS O&amp;G and CA100'!$D$5:$D$193, MATCH('Company Scorecard - select'!$A32, 'NZS O&amp;G and CA100'!$B$5:$B$193, 0)) = "Alignment", INDEX('NZS O&amp;G and CA100'!$E$5:$N$193, MATCH('Company Scorecard - select'!$A32, 'NZS O&amp;G and CA100'!$B$5:$B$193, 0),MATCH('Company Scorecard - select'!$C$5, 'NZS O&amp;G and CA100'!$E$3:$N$3, 0)),"")</f>
        <v/>
      </c>
      <c r="I32" s="279"/>
      <c r="J32" s="279" t="str">
        <f>IF(OR(INDEX('NZS O&amp;G and CA100'!$D$5:$D$193, MATCH('Company Scorecard - select'!$A32, 'NZS O&amp;G and CA100'!$B$5:$B$193, 0)) = "Climate Solutions", INDEX('NZS O&amp;G and CA100'!$D$5:$D$193, MATCH('Company Scorecard - select'!$A32, 'NZS O&amp;G and CA100'!$B$5:$B$193, 0)) = "Solutions (Al)"), INDEX('NZS O&amp;G and CA100'!$E$5:$N$193, MATCH('Company Scorecard - select'!$A32, 'NZS O&amp;G and CA100'!$B$5:$B$193, 0),MATCH('Company Scorecard - select'!$C$5, 'NZS O&amp;G and CA100'!$E$3:$N$3, 0)),"")</f>
        <v/>
      </c>
      <c r="K32" s="22" t="s">
        <v>76</v>
      </c>
      <c r="L32" s="294"/>
      <c r="N32" s="22" t="s">
        <v>76</v>
      </c>
      <c r="O32" s="22"/>
    </row>
    <row r="33" spans="1:123" ht="15" customHeight="1" outlineLevel="1">
      <c r="A33" s="297">
        <v>3.2</v>
      </c>
      <c r="B33" s="33"/>
      <c r="C33" s="96" t="s">
        <v>84</v>
      </c>
      <c r="D33" s="94" t="s">
        <v>64</v>
      </c>
      <c r="F33" s="280">
        <f>SUM(F34:F38)/COUNT(F34:F38)</f>
        <v>1</v>
      </c>
      <c r="G33" s="279"/>
      <c r="H33" s="280" t="str">
        <f>IF(AND(H35="Under development",H38="Under development"),"Under development", AVERAGE(H35,H38))</f>
        <v>Under development</v>
      </c>
      <c r="I33" s="279"/>
      <c r="J33" s="279" t="str">
        <f>IF(OR(INDEX('NZS O&amp;G and CA100'!$D$5:$D$193, MATCH('Company Scorecard - select'!$A33, 'NZS O&amp;G and CA100'!$B$5:$B$193, 0)) = "Climate Solutions", INDEX('NZS O&amp;G and CA100'!$D$5:$D$193, MATCH('Company Scorecard - select'!$A33, 'NZS O&amp;G and CA100'!$B$5:$B$193, 0)) = "Solutions (Al)"), INDEX('NZS O&amp;G and CA100'!$E$5:$N$193, MATCH('Company Scorecard - select'!$A33, 'NZS O&amp;G and CA100'!$B$5:$B$193, 0),MATCH('Company Scorecard - select'!$C$5, 'NZS O&amp;G and CA100'!$E$3:$N$3, 0)),"")</f>
        <v/>
      </c>
      <c r="K33" s="22" t="s">
        <v>76</v>
      </c>
      <c r="L33" s="294"/>
      <c r="N33" s="22" t="s">
        <v>76</v>
      </c>
      <c r="O33" s="22"/>
    </row>
    <row r="34" spans="1:123" ht="15" customHeight="1" outlineLevel="2">
      <c r="A34" s="298" t="str">
        <f>LEFT(C34,FIND(":",C34)-1)</f>
        <v>3.2.a</v>
      </c>
      <c r="B34" s="33"/>
      <c r="C34" s="99" t="s">
        <v>85</v>
      </c>
      <c r="D34" s="94" t="s">
        <v>67</v>
      </c>
      <c r="F34" s="280">
        <f>IF(INDEX('NZS O&amp;G and CA100'!$D$5:$D$193, MATCH('Company Scorecard - select'!$A34, 'NZS O&amp;G and CA100'!$B$5:$B$193, 0)) = "Disclosure", INDEX('NZS O&amp;G and CA100'!$E$5:$N$193, MATCH('Company Scorecard - select'!$A34, 'NZS O&amp;G and CA100'!$B$5:$B$193, 0),MATCH('Company Scorecard - select'!$C$5, 'NZS O&amp;G and CA100'!$E$3:$N$3, 0)),"N/A")</f>
        <v>1</v>
      </c>
      <c r="G34" s="279"/>
      <c r="H34" s="280" t="str">
        <f>IF(INDEX('NZS O&amp;G and CA100'!$D$5:$D$193, MATCH('Company Scorecard - select'!$A34, 'NZS O&amp;G and CA100'!$B$5:$B$193, 0)) = "Alignment", INDEX('NZS O&amp;G and CA100'!$E$5:$N$193, MATCH('Company Scorecard - select'!$A34, 'NZS O&amp;G and CA100'!$B$5:$B$193, 0),MATCH('Company Scorecard - select'!$C$5, 'NZS O&amp;G and CA100'!$E$3:$N$3, 0)),"")</f>
        <v/>
      </c>
      <c r="I34" s="279"/>
      <c r="J34" s="279" t="str">
        <f>IF(OR(INDEX('NZS O&amp;G and CA100'!$D$5:$D$193, MATCH('Company Scorecard - select'!$A34, 'NZS O&amp;G and CA100'!$B$5:$B$193, 0)) = "Climate Solutions", INDEX('NZS O&amp;G and CA100'!$D$5:$D$193, MATCH('Company Scorecard - select'!$A34, 'NZS O&amp;G and CA100'!$B$5:$B$193, 0)) = "Solutions (Al)"), INDEX('NZS O&amp;G and CA100'!$E$5:$N$193, MATCH('Company Scorecard - select'!$A34, 'NZS O&amp;G and CA100'!$B$5:$B$193, 0),MATCH('Company Scorecard - select'!$C$5, 'NZS O&amp;G and CA100'!$E$3:$N$3, 0)),"")</f>
        <v/>
      </c>
      <c r="K34" s="22" t="s">
        <v>76</v>
      </c>
      <c r="L34" s="294"/>
      <c r="N34" s="22" t="s">
        <v>76</v>
      </c>
      <c r="O34" s="22"/>
    </row>
    <row r="35" spans="1:123" ht="15" customHeight="1" outlineLevel="2">
      <c r="A35" s="298" t="str">
        <f>LEFT(C35,FIND(":",C35)-1)</f>
        <v>3.i.a</v>
      </c>
      <c r="B35" s="33"/>
      <c r="C35" s="97" t="s">
        <v>86</v>
      </c>
      <c r="D35" s="94" t="s">
        <v>70</v>
      </c>
      <c r="F35" s="280" t="str">
        <f>IF(INDEX('NZS O&amp;G and CA100'!$D$5:$D$193, MATCH('Company Scorecard - select'!$A35, 'NZS O&amp;G and CA100'!$B$5:$B$193, 0)) = "Disclosure", INDEX('NZS O&amp;G and CA100'!$E$5:$N$193, MATCH('Company Scorecard - select'!$A35, 'NZS O&amp;G and CA100'!$B$5:$B$193, 0),MATCH('Company Scorecard - select'!$C$5, 'NZS O&amp;G and CA100'!$E$3:$N$3, 0)),"")</f>
        <v/>
      </c>
      <c r="G35" s="279"/>
      <c r="H35" s="280" t="str">
        <f>IF(INDEX('NZS O&amp;G and CA100'!$D$5:$D$193, MATCH('Company Scorecard - select'!$A35, 'NZS O&amp;G and CA100'!$B$5:$B$193, 0)) = "Alignment", INDEX('NZS O&amp;G and CA100'!$E$5:$N$193, MATCH('Company Scorecard - select'!$A35, 'NZS O&amp;G and CA100'!$B$5:$B$193, 0),MATCH('Company Scorecard - select'!$C$5, 'NZS O&amp;G and CA100'!$E$3:$N$3, 0)),"")</f>
        <v>Under development</v>
      </c>
      <c r="I35" s="279"/>
      <c r="J35" s="279" t="str">
        <f>IF(OR(INDEX('NZS O&amp;G and CA100'!$D$5:$D$193, MATCH('Company Scorecard - select'!$A35, 'NZS O&amp;G and CA100'!$B$5:$B$193, 0)) = "Climate Solutions", INDEX('NZS O&amp;G and CA100'!$D$5:$D$193, MATCH('Company Scorecard - select'!$A35, 'NZS O&amp;G and CA100'!$B$5:$B$193, 0)) = "Solutions (Al)"), INDEX('NZS O&amp;G and CA100'!$E$5:$N$193, MATCH('Company Scorecard - select'!$A35, 'NZS O&amp;G and CA100'!$B$5:$B$193, 0),MATCH('Company Scorecard - select'!$C$5, 'NZS O&amp;G and CA100'!$E$3:$N$3, 0)),"")</f>
        <v/>
      </c>
      <c r="K35" s="22" t="s">
        <v>76</v>
      </c>
      <c r="L35" s="294"/>
      <c r="N35" s="22" t="s">
        <v>76</v>
      </c>
      <c r="O35" s="22"/>
    </row>
    <row r="36" spans="1:123" ht="15" customHeight="1" outlineLevel="2">
      <c r="A36" s="298" t="str">
        <f t="shared" ref="A36:A38" si="1">LEFT(C36,FIND(":",C36)-1)</f>
        <v>3.2.b</v>
      </c>
      <c r="B36" s="33"/>
      <c r="C36" s="99" t="s">
        <v>87</v>
      </c>
      <c r="D36" s="94" t="s">
        <v>69</v>
      </c>
      <c r="F36" s="280">
        <f>IF(INDEX('NZS O&amp;G and CA100'!$D$5:$D$193, MATCH('Company Scorecard - select'!$A36, 'NZS O&amp;G and CA100'!$B$5:$B$193, 0)) = "Disclosure", INDEX('NZS O&amp;G and CA100'!$E$5:$N$193, MATCH('Company Scorecard - select'!$A36, 'NZS O&amp;G and CA100'!$B$5:$B$193, 0),MATCH('Company Scorecard - select'!$C$5, 'NZS O&amp;G and CA100'!$E$3:$N$3, 0)),"N/A")</f>
        <v>1</v>
      </c>
      <c r="G36" s="279"/>
      <c r="H36" s="280" t="str">
        <f>IF(INDEX('NZS O&amp;G and CA100'!$D$5:$D$193, MATCH('Company Scorecard - select'!$A36, 'NZS O&amp;G and CA100'!$B$5:$B$193, 0)) = "Alignment", INDEX('NZS O&amp;G and CA100'!$E$5:$N$193, MATCH('Company Scorecard - select'!$A36, 'NZS O&amp;G and CA100'!$B$5:$B$193, 0),MATCH('Company Scorecard - select'!$C$5, 'NZS O&amp;G and CA100'!$E$3:$N$3, 0)),"")</f>
        <v/>
      </c>
      <c r="I36" s="279"/>
      <c r="J36" s="279" t="str">
        <f>IF(OR(INDEX('NZS O&amp;G and CA100'!$D$5:$D$193, MATCH('Company Scorecard - select'!$A36, 'NZS O&amp;G and CA100'!$B$5:$B$193, 0)) = "Climate Solutions", INDEX('NZS O&amp;G and CA100'!$D$5:$D$193, MATCH('Company Scorecard - select'!$A36, 'NZS O&amp;G and CA100'!$B$5:$B$193, 0)) = "Solutions (Al)"), INDEX('NZS O&amp;G and CA100'!$E$5:$N$193, MATCH('Company Scorecard - select'!$A36, 'NZS O&amp;G and CA100'!$B$5:$B$193, 0),MATCH('Company Scorecard - select'!$C$5, 'NZS O&amp;G and CA100'!$E$3:$N$3, 0)),"")</f>
        <v/>
      </c>
      <c r="K36" s="22" t="s">
        <v>76</v>
      </c>
      <c r="L36" s="294"/>
      <c r="N36" s="22" t="s">
        <v>76</v>
      </c>
      <c r="O36" s="22"/>
    </row>
    <row r="37" spans="1:123" ht="15" customHeight="1" outlineLevel="2">
      <c r="A37" s="298" t="str">
        <f t="shared" si="1"/>
        <v>3.ii.a</v>
      </c>
      <c r="B37" s="33"/>
      <c r="C37" s="97" t="s">
        <v>88</v>
      </c>
      <c r="D37" s="94" t="s">
        <v>70</v>
      </c>
      <c r="F37" s="280">
        <f>IF(INDEX('NZS O&amp;G and CA100'!$D$5:$D$193, MATCH('Company Scorecard - select'!$A37, 'NZS O&amp;G and CA100'!$B$5:$B$193, 0)) = "Disclosure", INDEX('NZS O&amp;G and CA100'!$E$5:$N$193, MATCH('Company Scorecard - select'!$A37, 'NZS O&amp;G and CA100'!$B$5:$B$193, 0),MATCH('Company Scorecard - select'!$C$5, 'NZS O&amp;G and CA100'!$E$3:$N$3, 0)),"N/A")</f>
        <v>1</v>
      </c>
      <c r="G37" s="279"/>
      <c r="H37" s="280" t="str">
        <f>IF(INDEX('NZS O&amp;G and CA100'!$D$5:$D$193, MATCH('Company Scorecard - select'!$A37, 'NZS O&amp;G and CA100'!$B$5:$B$193, 0)) = "Alignment", INDEX('NZS O&amp;G and CA100'!$E$5:$N$193, MATCH('Company Scorecard - select'!$A37, 'NZS O&amp;G and CA100'!$B$5:$B$193, 0),MATCH('Company Scorecard - select'!$C$5, 'NZS O&amp;G and CA100'!$E$3:$N$3, 0)),"")</f>
        <v/>
      </c>
      <c r="I37" s="279"/>
      <c r="J37" s="279" t="str">
        <f>IF(OR(INDEX('NZS O&amp;G and CA100'!$D$5:$D$193, MATCH('Company Scorecard - select'!$A37, 'NZS O&amp;G and CA100'!$B$5:$B$193, 0)) = "Climate Solutions", INDEX('NZS O&amp;G and CA100'!$D$5:$D$193, MATCH('Company Scorecard - select'!$A37, 'NZS O&amp;G and CA100'!$B$5:$B$193, 0)) = "Solutions (Al)"), INDEX('NZS O&amp;G and CA100'!$E$5:$N$193, MATCH('Company Scorecard - select'!$A37, 'NZS O&amp;G and CA100'!$B$5:$B$193, 0),MATCH('Company Scorecard - select'!$C$5, 'NZS O&amp;G and CA100'!$E$3:$N$3, 0)),"")</f>
        <v/>
      </c>
      <c r="K37" s="22" t="s">
        <v>76</v>
      </c>
      <c r="L37" s="294"/>
      <c r="M37" s="22" t="s">
        <v>76</v>
      </c>
      <c r="N37" s="22" t="s">
        <v>76</v>
      </c>
      <c r="O37" s="22"/>
    </row>
    <row r="38" spans="1:123" ht="15" customHeight="1" outlineLevel="2">
      <c r="A38" s="298" t="str">
        <f t="shared" si="1"/>
        <v>3.ii.b</v>
      </c>
      <c r="B38" s="33"/>
      <c r="C38" s="97" t="s">
        <v>89</v>
      </c>
      <c r="D38" s="94" t="s">
        <v>70</v>
      </c>
      <c r="F38" s="280" t="str">
        <f>IF(INDEX('NZS O&amp;G and CA100'!$D$5:$D$193, MATCH('Company Scorecard - select'!$A38, 'NZS O&amp;G and CA100'!$B$5:$B$193, 0)) = "Disclosure", INDEX('NZS O&amp;G and CA100'!$E$5:$N$193, MATCH('Company Scorecard - select'!$A38, 'NZS O&amp;G and CA100'!$B$5:$B$193, 0),MATCH('Company Scorecard - select'!$C$5, 'NZS O&amp;G and CA100'!$E$3:$N$3, 0)),"")</f>
        <v/>
      </c>
      <c r="G38" s="279"/>
      <c r="H38" s="280" t="str">
        <f>IF(INDEX('NZS O&amp;G and CA100'!$D$5:$D$193, MATCH('Company Scorecard - select'!$A38, 'NZS O&amp;G and CA100'!$B$5:$B$193, 0)) = "Alignment", INDEX('NZS O&amp;G and CA100'!$E$5:$N$193, MATCH('Company Scorecard - select'!$A38, 'NZS O&amp;G and CA100'!$B$5:$B$193, 0),MATCH('Company Scorecard - select'!$C$5, 'NZS O&amp;G and CA100'!$E$3:$N$3, 0)),"")</f>
        <v>Under development</v>
      </c>
      <c r="I38" s="279"/>
      <c r="J38" s="279" t="str">
        <f>IF(OR(INDEX('NZS O&amp;G and CA100'!$D$5:$D$193, MATCH('Company Scorecard - select'!$A38, 'NZS O&amp;G and CA100'!$B$5:$B$193, 0)) = "Climate Solutions", INDEX('NZS O&amp;G and CA100'!$D$5:$D$193, MATCH('Company Scorecard - select'!$A38, 'NZS O&amp;G and CA100'!$B$5:$B$193, 0)) = "Solutions (Al)"), INDEX('NZS O&amp;G and CA100'!$E$5:$N$193, MATCH('Company Scorecard - select'!$A38, 'NZS O&amp;G and CA100'!$B$5:$B$193, 0),MATCH('Company Scorecard - select'!$C$5, 'NZS O&amp;G and CA100'!$E$3:$N$3, 0)),"")</f>
        <v/>
      </c>
      <c r="K38" s="22" t="s">
        <v>76</v>
      </c>
      <c r="L38" s="294"/>
      <c r="N38" s="22" t="s">
        <v>76</v>
      </c>
      <c r="O38" s="22"/>
    </row>
    <row r="39" spans="1:123" ht="15" customHeight="1" outlineLevel="1">
      <c r="A39" s="297">
        <v>3.3</v>
      </c>
      <c r="B39" s="33"/>
      <c r="C39" s="100" t="s">
        <v>90</v>
      </c>
      <c r="D39" s="94" t="s">
        <v>69</v>
      </c>
      <c r="F39" s="280" t="str">
        <f>IF(INDEX('NZS O&amp;G and CA100'!$D$5:$D$193, MATCH('Company Scorecard - select'!$A39, 'NZS O&amp;G and CA100'!$B$5:$B$193, 0)) = "Disclosure", INDEX('NZS O&amp;G and CA100'!$E$5:$N$193, MATCH('Company Scorecard - select'!$A39, 'NZS O&amp;G and CA100'!$B$5:$B$193, 0),MATCH('Company Scorecard - select'!$C$5, 'NZS O&amp;G and CA100'!$E$3:$N$3, 0)),"")</f>
        <v/>
      </c>
      <c r="G39" s="279"/>
      <c r="H39" s="280">
        <f>IF(INDEX('NZS O&amp;G and CA100'!$D$5:$D$193, MATCH('Company Scorecard - select'!$A39, 'NZS O&amp;G and CA100'!$B$5:$B$193, 0)) = "Alignment", INDEX('NZS O&amp;G and CA100'!$E$5:$N$193, MATCH('Company Scorecard - select'!$A39, 'NZS O&amp;G and CA100'!$B$5:$B$193, 0),MATCH('Company Scorecard - select'!$C$5, 'NZS O&amp;G and CA100'!$E$3:$N$3, 0)),"")</f>
        <v>0</v>
      </c>
      <c r="I39" s="279"/>
      <c r="J39" s="279" t="str">
        <f>IF(OR(INDEX('NZS O&amp;G and CA100'!$D$5:$D$193, MATCH('Company Scorecard - select'!$A39, 'NZS O&amp;G and CA100'!$B$5:$B$193, 0)) = "Climate Solutions", INDEX('NZS O&amp;G and CA100'!$D$5:$D$193, MATCH('Company Scorecard - select'!$A39, 'NZS O&amp;G and CA100'!$B$5:$B$193, 0)) = "Solutions (Al)"), INDEX('NZS O&amp;G and CA100'!$E$5:$N$193, MATCH('Company Scorecard - select'!$A39, 'NZS O&amp;G and CA100'!$B$5:$B$193, 0),MATCH('Company Scorecard - select'!$C$5, 'NZS O&amp;G and CA100'!$E$3:$N$3, 0)),"")</f>
        <v/>
      </c>
      <c r="L39" s="294"/>
      <c r="N39" s="22" t="s">
        <v>76</v>
      </c>
      <c r="O39" s="22"/>
    </row>
    <row r="40" spans="1:123" ht="15" customHeight="1" outlineLevel="1" collapsed="1">
      <c r="A40" s="297">
        <v>3.4</v>
      </c>
      <c r="B40" s="33"/>
      <c r="C40" s="100" t="s">
        <v>91</v>
      </c>
      <c r="D40" s="94" t="s">
        <v>92</v>
      </c>
      <c r="F40" s="280"/>
      <c r="G40" s="279"/>
      <c r="H40" s="284" t="s">
        <v>93</v>
      </c>
      <c r="I40" s="279"/>
      <c r="J40" s="279" t="str">
        <f>IF(OR(INDEX('NZS O&amp;G and CA100'!$D$5:$D$193, MATCH('Company Scorecard - select'!$A40, 'NZS O&amp;G and CA100'!$B$5:$B$193, 0)) = "Climate Solutions", INDEX('NZS O&amp;G and CA100'!$D$5:$D$193, MATCH('Company Scorecard - select'!$A40, 'NZS O&amp;G and CA100'!$B$5:$B$193, 0)) = "Solutions (Al)"), INDEX('NZS O&amp;G and CA100'!$E$5:$N$193, MATCH('Company Scorecard - select'!$A40, 'NZS O&amp;G and CA100'!$B$5:$B$193, 0),MATCH('Company Scorecard - select'!$C$5, 'NZS O&amp;G and CA100'!$E$3:$N$3, 0)),"")</f>
        <v/>
      </c>
      <c r="L40" s="294"/>
      <c r="N40" s="22" t="s">
        <v>76</v>
      </c>
      <c r="O40" s="22"/>
    </row>
    <row r="41" spans="1:123" s="22" customFormat="1" ht="7.5" customHeight="1" thickBot="1">
      <c r="A41" s="296"/>
      <c r="B41" s="34"/>
      <c r="C41" s="35"/>
      <c r="D41" s="29" t="s">
        <v>70</v>
      </c>
      <c r="E41" s="29"/>
      <c r="F41" s="282"/>
      <c r="G41" s="282"/>
      <c r="H41" s="282"/>
      <c r="I41" s="282"/>
      <c r="J41" s="283"/>
      <c r="K41" s="28"/>
      <c r="L41" s="295"/>
      <c r="N41" s="22" t="s">
        <v>76</v>
      </c>
      <c r="DQ41" s="24"/>
      <c r="DR41" s="24"/>
      <c r="DS41" s="24"/>
    </row>
    <row r="42" spans="1:123" ht="7.5" customHeight="1">
      <c r="A42" s="296"/>
      <c r="B42" s="30"/>
      <c r="D42" s="22" t="s">
        <v>70</v>
      </c>
      <c r="F42" s="279"/>
      <c r="G42" s="279"/>
      <c r="H42" s="279"/>
      <c r="I42" s="279"/>
      <c r="J42" s="285"/>
      <c r="L42" s="294"/>
      <c r="N42" s="22" t="s">
        <v>76</v>
      </c>
      <c r="O42" s="22"/>
    </row>
    <row r="43" spans="1:123" ht="15" customHeight="1">
      <c r="A43" s="297">
        <v>4</v>
      </c>
      <c r="B43" s="32"/>
      <c r="C43" s="101" t="s">
        <v>94</v>
      </c>
      <c r="D43" s="92" t="s">
        <v>69</v>
      </c>
      <c r="F43" s="278">
        <f>SUM(F45, F46 )/COUNT(F45, F46)</f>
        <v>1</v>
      </c>
      <c r="G43" s="279"/>
      <c r="H43" s="278">
        <f>H49</f>
        <v>0</v>
      </c>
      <c r="I43" s="279"/>
      <c r="J43" s="279"/>
      <c r="L43" s="294"/>
      <c r="N43" s="22" t="s">
        <v>76</v>
      </c>
      <c r="O43" s="22"/>
    </row>
    <row r="44" spans="1:123" s="22" customFormat="1" ht="15" customHeight="1">
      <c r="A44" s="298"/>
      <c r="B44" s="32"/>
      <c r="C44" s="98"/>
      <c r="D44" s="94"/>
      <c r="F44" s="280"/>
      <c r="G44" s="279"/>
      <c r="H44" s="279"/>
      <c r="I44" s="279"/>
      <c r="J44" s="279"/>
      <c r="L44" s="294"/>
      <c r="N44" s="22" t="s">
        <v>76</v>
      </c>
      <c r="DQ44" s="24"/>
      <c r="DR44" s="24"/>
      <c r="DS44" s="24"/>
    </row>
    <row r="45" spans="1:123" ht="15" customHeight="1" outlineLevel="1">
      <c r="A45" s="297">
        <v>4.0999999999999996</v>
      </c>
      <c r="B45" s="32"/>
      <c r="C45" s="98" t="s">
        <v>95</v>
      </c>
      <c r="D45" s="94" t="s">
        <v>69</v>
      </c>
      <c r="F45" s="280">
        <f>IF(INDEX('NZS O&amp;G and CA100'!$D$5:$D$193, MATCH('Company Scorecard - select'!$A45, 'NZS O&amp;G and CA100'!$B$5:$B$193, 0)) = "Disclosure", INDEX('NZS O&amp;G and CA100'!$E$5:$N$193, MATCH('Company Scorecard - select'!$A45, 'NZS O&amp;G and CA100'!$B$5:$B$193, 0),MATCH('Company Scorecard - select'!$C$5, 'NZS O&amp;G and CA100'!$E$3:$N$3, 0)),"N/A")</f>
        <v>1</v>
      </c>
      <c r="G45" s="279"/>
      <c r="H45" s="280" t="str">
        <f>IF(INDEX('NZS O&amp;G and CA100'!$D$5:$D$193, MATCH('Company Scorecard - select'!$A45, 'NZS O&amp;G and CA100'!$B$5:$B$193, 0)) = "Alignment", INDEX('NZS O&amp;G and CA100'!$E$5:$N$193, MATCH('Company Scorecard - select'!$A45, 'NZS O&amp;G and CA100'!$B$5:$B$193, 0),MATCH('Company Scorecard - select'!$C$5, 'NZS O&amp;G and CA100'!$E$3:$N$3, 0)),"")</f>
        <v/>
      </c>
      <c r="I45" s="279"/>
      <c r="J45" s="281" t="str">
        <f>IF(OR(INDEX('NZS O&amp;G and CA100'!$D$5:$D$193, MATCH('Company Scorecard - select'!$A45, 'NZS O&amp;G and CA100'!$B$5:$B$193, 0)) = "Climate Solutions", INDEX('NZS O&amp;G and CA100'!$D$5:$D$193, MATCH('Company Scorecard - select'!$A45, 'NZS O&amp;G and CA100'!$B$5:$B$193, 0)) = "Solutions (Al)"), INDEX('NZS O&amp;G and CA100'!$E$5:$N$193, MATCH('Company Scorecard - select'!$A45, 'NZS O&amp;G and CA100'!$B$5:$B$193, 0),MATCH('Company Scorecard - select'!$C$5, 'NZS O&amp;G and CA100'!$E$3:$N$3, 0)),"")</f>
        <v/>
      </c>
      <c r="L45" s="294"/>
      <c r="N45" s="22" t="s">
        <v>76</v>
      </c>
      <c r="O45" s="22"/>
    </row>
    <row r="46" spans="1:123" ht="15" customHeight="1" outlineLevel="1">
      <c r="A46" s="297">
        <v>4.2</v>
      </c>
      <c r="B46" s="32"/>
      <c r="C46" s="98" t="s">
        <v>96</v>
      </c>
      <c r="D46" s="94" t="s">
        <v>69</v>
      </c>
      <c r="F46" s="280">
        <f>SUM(F47,F48)/COUNT(F47,F48)</f>
        <v>1</v>
      </c>
      <c r="G46" s="279"/>
      <c r="H46" s="280" t="str">
        <f>IF(INDEX('NZS O&amp;G and CA100'!$D$5:$D$193, MATCH('Company Scorecard - select'!$A46, 'NZS O&amp;G and CA100'!$B$5:$B$193, 0)) = "Alignment", INDEX('NZS O&amp;G and CA100'!$E$5:$N$193, MATCH('Company Scorecard - select'!$A46, 'NZS O&amp;G and CA100'!$B$5:$B$193, 0),MATCH('Company Scorecard - select'!$C$5, 'NZS O&amp;G and CA100'!$E$3:$N$3, 0)),"")</f>
        <v/>
      </c>
      <c r="I46" s="279"/>
      <c r="J46" s="281" t="str">
        <f>IF(OR(INDEX('NZS O&amp;G and CA100'!$D$5:$D$193, MATCH('Company Scorecard - select'!$A46, 'NZS O&amp;G and CA100'!$B$5:$B$193, 0)) = "Climate Solutions", INDEX('NZS O&amp;G and CA100'!$D$5:$D$193, MATCH('Company Scorecard - select'!$A46, 'NZS O&amp;G and CA100'!$B$5:$B$193, 0)) = "Solutions (Al)"), INDEX('NZS O&amp;G and CA100'!$E$5:$N$193, MATCH('Company Scorecard - select'!$A46, 'NZS O&amp;G and CA100'!$B$5:$B$193, 0),MATCH('Company Scorecard - select'!$C$5, 'NZS O&amp;G and CA100'!$E$3:$N$3, 0)),"")</f>
        <v/>
      </c>
      <c r="L46" s="294"/>
      <c r="N46" s="22" t="s">
        <v>76</v>
      </c>
      <c r="O46" s="22"/>
    </row>
    <row r="47" spans="1:123" ht="15" customHeight="1" outlineLevel="2">
      <c r="A47" s="298" t="str">
        <f>LEFT(C47,FIND(":",C47)-1)</f>
        <v>4.2.a</v>
      </c>
      <c r="B47" s="32"/>
      <c r="C47" s="99" t="s">
        <v>97</v>
      </c>
      <c r="D47" s="94" t="s">
        <v>69</v>
      </c>
      <c r="F47" s="280">
        <f>IF(INDEX('NZS O&amp;G and CA100'!$D$5:$D$193, MATCH('Company Scorecard - select'!$A47, 'NZS O&amp;G and CA100'!$B$5:$B$193, 0)) = "Disclosure", INDEX('NZS O&amp;G and CA100'!$E$5:$N$193, MATCH('Company Scorecard - select'!$A47, 'NZS O&amp;G and CA100'!$B$5:$B$193, 0),MATCH('Company Scorecard - select'!$C$5, 'NZS O&amp;G and CA100'!$E$3:$N$3, 0)),"")</f>
        <v>1</v>
      </c>
      <c r="G47" s="279"/>
      <c r="H47" s="280" t="str">
        <f>IF(INDEX('NZS O&amp;G and CA100'!$D$5:$D$193, MATCH('Company Scorecard - select'!$A47, 'NZS O&amp;G and CA100'!$B$5:$B$193, 0)) = "Alignment", INDEX('NZS O&amp;G and CA100'!$E$5:$N$193, MATCH('Company Scorecard - select'!$A47, 'NZS O&amp;G and CA100'!$B$5:$B$193, 0),MATCH('Company Scorecard - select'!$C$5, 'NZS O&amp;G and CA100'!$E$3:$N$3, 0)),"")</f>
        <v/>
      </c>
      <c r="I47" s="279"/>
      <c r="J47" s="281" t="str">
        <f>IF(OR(INDEX('NZS O&amp;G and CA100'!$D$5:$D$193, MATCH('Company Scorecard - select'!$A47, 'NZS O&amp;G and CA100'!$B$5:$B$193, 0)) = "Climate Solutions", INDEX('NZS O&amp;G and CA100'!$D$5:$D$193, MATCH('Company Scorecard - select'!$A47, 'NZS O&amp;G and CA100'!$B$5:$B$193, 0)) = "Solutions (Al)"), INDEX('NZS O&amp;G and CA100'!$E$5:$N$193, MATCH('Company Scorecard - select'!$A47, 'NZS O&amp;G and CA100'!$B$5:$B$193, 0),MATCH('Company Scorecard - select'!$C$5, 'NZS O&amp;G and CA100'!$E$3:$N$3, 0)),"")</f>
        <v/>
      </c>
      <c r="L47" s="294"/>
      <c r="N47" s="22" t="s">
        <v>76</v>
      </c>
      <c r="O47" s="22"/>
    </row>
    <row r="48" spans="1:123" ht="15" customHeight="1" outlineLevel="2">
      <c r="A48" s="298" t="str">
        <f>LEFT(C48,FIND(":",C48)-1)</f>
        <v>4.2.b</v>
      </c>
      <c r="B48" s="32"/>
      <c r="C48" s="99" t="s">
        <v>98</v>
      </c>
      <c r="D48" s="94" t="s">
        <v>69</v>
      </c>
      <c r="F48" s="280">
        <f>IF(INDEX('NZS O&amp;G and CA100'!$D$5:$D$193, MATCH('Company Scorecard - select'!$A48, 'NZS O&amp;G and CA100'!$B$5:$B$193, 0)) = "Disclosure", INDEX('NZS O&amp;G and CA100'!$E$5:$N$193, MATCH('Company Scorecard - select'!$A48, 'NZS O&amp;G and CA100'!$B$5:$B$193, 0),MATCH('Company Scorecard - select'!$C$5, 'NZS O&amp;G and CA100'!$E$3:$N$3, 0)),"")</f>
        <v>1</v>
      </c>
      <c r="G48" s="279"/>
      <c r="H48" s="280" t="str">
        <f>IF(INDEX('NZS O&amp;G and CA100'!$D$5:$D$193, MATCH('Company Scorecard - select'!$A48, 'NZS O&amp;G and CA100'!$B$5:$B$193, 0)) = "Alignment", INDEX('NZS O&amp;G and CA100'!$E$5:$N$193, MATCH('Company Scorecard - select'!$A48, 'NZS O&amp;G and CA100'!$B$5:$B$193, 0),MATCH('Company Scorecard - select'!$C$5, 'NZS O&amp;G and CA100'!$E$3:$N$3, 0)),"")</f>
        <v/>
      </c>
      <c r="I48" s="279"/>
      <c r="J48" s="281" t="str">
        <f>IF(OR(INDEX('NZS O&amp;G and CA100'!$D$5:$D$193, MATCH('Company Scorecard - select'!$A48, 'NZS O&amp;G and CA100'!$B$5:$B$193, 0)) = "Climate Solutions", INDEX('NZS O&amp;G and CA100'!$D$5:$D$193, MATCH('Company Scorecard - select'!$A48, 'NZS O&amp;G and CA100'!$B$5:$B$193, 0)) = "Solutions (Al)"), INDEX('NZS O&amp;G and CA100'!$E$5:$N$193, MATCH('Company Scorecard - select'!$A48, 'NZS O&amp;G and CA100'!$B$5:$B$193, 0),MATCH('Company Scorecard - select'!$C$5, 'NZS O&amp;G and CA100'!$E$3:$N$3, 0)),"")</f>
        <v/>
      </c>
      <c r="L48" s="294"/>
      <c r="N48" s="22" t="s">
        <v>76</v>
      </c>
      <c r="O48" s="22"/>
    </row>
    <row r="49" spans="1:123" ht="15" customHeight="1" outlineLevel="1">
      <c r="A49" s="297">
        <v>4.3</v>
      </c>
      <c r="B49" s="32"/>
      <c r="C49" s="98" t="s">
        <v>99</v>
      </c>
      <c r="D49" s="94" t="s">
        <v>69</v>
      </c>
      <c r="F49" s="280" t="str">
        <f>IF(INDEX('NZS O&amp;G and CA100'!$D$5:$D$193, MATCH('Company Scorecard - select'!$A49, 'NZS O&amp;G and CA100'!$B$5:$B$193, 0)) = "Disclosure", INDEX('NZS O&amp;G and CA100'!$E$5:$N$193, MATCH('Company Scorecard - select'!$A49, 'NZS O&amp;G and CA100'!$B$5:$B$193, 0),MATCH('Company Scorecard - select'!$C$5, 'NZS O&amp;G and CA100'!$E$3:$N$3, 0)),"")</f>
        <v/>
      </c>
      <c r="G49" s="279"/>
      <c r="H49" s="278">
        <f>IF(INDEX('NZS O&amp;G and CA100'!$D$5:$D$193, MATCH('Company Scorecard - select'!$A49, 'NZS O&amp;G and CA100'!$B$5:$B$193, 0)) = "Alignment", INDEX('NZS O&amp;G and CA100'!$E$5:$N$193, MATCH('Company Scorecard - select'!$A49, 'NZS O&amp;G and CA100'!$B$5:$B$193, 0),MATCH('Company Scorecard - select'!$C$5, 'NZS O&amp;G and CA100'!$E$3:$N$3, 0)),"")</f>
        <v>0</v>
      </c>
      <c r="I49" s="279"/>
      <c r="J49" s="279" t="str">
        <f>IF(OR(INDEX('NZS O&amp;G and CA100'!$D$5:$D$193, MATCH('Company Scorecard - select'!$A49, 'NZS O&amp;G and CA100'!$B$5:$B$193, 0)) = "Climate Solutions", INDEX('NZS O&amp;G and CA100'!$D$5:$D$193, MATCH('Company Scorecard - select'!$A49, 'NZS O&amp;G and CA100'!$B$5:$B$193, 0)) = "Solutions (Al)"), INDEX('NZS O&amp;G and CA100'!$E$5:$N$193, MATCH('Company Scorecard - select'!$A49, 'NZS O&amp;G and CA100'!$B$5:$B$193, 0),MATCH('Company Scorecard - select'!$C$5, 'NZS O&amp;G and CA100'!$E$3:$N$3, 0)),"")</f>
        <v/>
      </c>
      <c r="L49" s="294"/>
      <c r="N49" s="22" t="s">
        <v>76</v>
      </c>
      <c r="O49" s="22"/>
    </row>
    <row r="50" spans="1:123" s="22" customFormat="1" ht="7.5" customHeight="1" thickBot="1">
      <c r="A50" s="296"/>
      <c r="B50" s="34"/>
      <c r="C50" s="35" t="s">
        <v>81</v>
      </c>
      <c r="D50" s="29" t="s">
        <v>70</v>
      </c>
      <c r="E50" s="29"/>
      <c r="F50" s="282"/>
      <c r="G50" s="282"/>
      <c r="H50" s="282"/>
      <c r="I50" s="282"/>
      <c r="J50" s="283"/>
      <c r="K50" s="28"/>
      <c r="L50" s="295"/>
      <c r="N50" s="22" t="s">
        <v>76</v>
      </c>
      <c r="DQ50" s="24"/>
      <c r="DR50" s="24"/>
      <c r="DS50" s="24"/>
    </row>
    <row r="51" spans="1:123" ht="7.5" customHeight="1">
      <c r="A51" s="296"/>
      <c r="B51" s="30"/>
      <c r="D51" s="22" t="s">
        <v>70</v>
      </c>
      <c r="F51" s="279"/>
      <c r="G51" s="279"/>
      <c r="H51" s="279"/>
      <c r="I51" s="279"/>
      <c r="J51" s="279"/>
      <c r="K51" s="86"/>
      <c r="L51" s="294"/>
      <c r="N51" s="22" t="s">
        <v>76</v>
      </c>
      <c r="O51" s="22"/>
    </row>
    <row r="52" spans="1:123" s="22" customFormat="1" ht="15" customHeight="1">
      <c r="A52" s="297">
        <v>5</v>
      </c>
      <c r="B52" s="32"/>
      <c r="C52" s="101" t="s">
        <v>100</v>
      </c>
      <c r="D52" s="92" t="s">
        <v>69</v>
      </c>
      <c r="F52" s="278">
        <f>SUM(F54, F60, F75,F85,F93)/COUNT(F54, F60, F75,F85,F93)</f>
        <v>0.26805555555555555</v>
      </c>
      <c r="G52" s="285"/>
      <c r="H52" s="278">
        <f>SUM(H54, H60, H75,H85,H93)/COUNT(H54, H60, H75,H85,H93)</f>
        <v>0.1</v>
      </c>
      <c r="I52" s="285"/>
      <c r="J52" s="278">
        <f>SUM(J54, J60, J75,J85,J93)/COUNT(J54, J60, J75,J85,J93)</f>
        <v>0</v>
      </c>
      <c r="L52" s="294"/>
      <c r="N52" s="22" t="s">
        <v>76</v>
      </c>
      <c r="DQ52" s="24"/>
      <c r="DR52" s="24"/>
      <c r="DS52" s="24"/>
    </row>
    <row r="53" spans="1:123" s="22" customFormat="1" ht="15" customHeight="1">
      <c r="A53" s="297"/>
      <c r="B53" s="32"/>
      <c r="C53" s="31"/>
      <c r="D53" s="92"/>
      <c r="F53" s="278"/>
      <c r="G53" s="279"/>
      <c r="H53" s="278"/>
      <c r="I53" s="279"/>
      <c r="J53" s="278"/>
      <c r="L53" s="294"/>
      <c r="N53" s="22" t="s">
        <v>76</v>
      </c>
      <c r="DQ53" s="24"/>
      <c r="DR53" s="24"/>
      <c r="DS53" s="24"/>
    </row>
    <row r="54" spans="1:123" s="22" customFormat="1" ht="15" customHeight="1" outlineLevel="1">
      <c r="A54" s="297">
        <v>5.0999999999999996</v>
      </c>
      <c r="B54" s="33"/>
      <c r="C54" s="96" t="s">
        <v>101</v>
      </c>
      <c r="D54" s="94" t="s">
        <v>69</v>
      </c>
      <c r="F54" s="286">
        <f>SUM(F55, F56, F57, F58,F59)/COUNT(F55, F56, F57, F58, F59)</f>
        <v>0.25</v>
      </c>
      <c r="G54" s="279"/>
      <c r="H54" s="281" t="str">
        <f>IF(OR(INDEX('NZS O&amp;G and CA100'!$D$5:$D$193, MATCH('Company Scorecard - select'!$A54, 'NZS O&amp;G and CA100'!$B$5:$B$193, 0)) = "Solutions", INDEX('NZS O&amp;G and CA100'!$D$5:$D$193, MATCH('Company Scorecard - select'!$A54, 'NZS O&amp;G and CA100'!$B$5:$B$193, 0)) = "Solutions (Al)"), INDEX('NZS O&amp;G and CA100'!$E$5:$N$193, MATCH('Company Scorecard - select'!$A54, 'NZS O&amp;G and CA100'!$B$5:$B$193, 0),MATCH('Company Scorecard - select'!$C$5, 'NZS O&amp;G and CA100'!$E$3:$N$3, 0)),"")</f>
        <v/>
      </c>
      <c r="I54" s="281" t="str">
        <f>IF(OR(INDEX('NZS O&amp;G and CA100'!$D$5:$D$193, MATCH('Company Scorecard - select'!$A54, 'NZS O&amp;G and CA100'!$B$5:$B$193, 0)) = "Solutions", INDEX('NZS O&amp;G and CA100'!$D$5:$D$193, MATCH('Company Scorecard - select'!$A54, 'NZS O&amp;G and CA100'!$B$5:$B$193, 0)) = "Solutions (Al)"), INDEX('NZS O&amp;G and CA100'!$E$5:$N$193, MATCH('Company Scorecard - select'!$A54, 'NZS O&amp;G and CA100'!$B$5:$B$193, 0),MATCH('Company Scorecard - select'!$C$5, 'NZS O&amp;G and CA100'!$E$3:$N$3, 0)),"")</f>
        <v/>
      </c>
      <c r="J54" s="281" t="str">
        <f>IF(OR(INDEX('NZS O&amp;G and CA100'!$D$5:$D$193, MATCH('Company Scorecard - select'!$A54, 'NZS O&amp;G and CA100'!$B$5:$B$193, 0)) = "Climate Solutions", INDEX('NZS O&amp;G and CA100'!$D$5:$D$193, MATCH('Company Scorecard - select'!$A54, 'NZS O&amp;G and CA100'!$B$5:$B$193, 0)) = "Solutions (Al)"), INDEX('NZS O&amp;G and CA100'!$E$5:$N$193, MATCH('Company Scorecard - select'!$A54, 'NZS O&amp;G and CA100'!$B$5:$B$193, 0),MATCH('Company Scorecard - select'!$C$5, 'NZS O&amp;G and CA100'!$E$3:$N$3, 0)),"")</f>
        <v/>
      </c>
      <c r="L54" s="294"/>
      <c r="N54" s="22" t="s">
        <v>76</v>
      </c>
      <c r="DQ54" s="24"/>
      <c r="DR54" s="24"/>
      <c r="DS54" s="24"/>
    </row>
    <row r="55" spans="1:123" s="22" customFormat="1" ht="15" customHeight="1" outlineLevel="2">
      <c r="A55" s="298" t="str">
        <f>LEFT(C55,FIND(":",C55)-1)</f>
        <v>5.1.a</v>
      </c>
      <c r="B55" s="33"/>
      <c r="C55" s="99" t="s">
        <v>102</v>
      </c>
      <c r="D55" s="94" t="s">
        <v>69</v>
      </c>
      <c r="F55" s="280">
        <f>IF(INDEX('NZS O&amp;G and CA100'!$D$5:$D$193, MATCH('Company Scorecard - select'!$A55, 'NZS O&amp;G and CA100'!$B$5:$B$193, 0)) = "Disclosure", INDEX('NZS O&amp;G and CA100'!$E$5:$N$193, MATCH('Company Scorecard - select'!$A55, 'NZS O&amp;G and CA100'!$B$5:$B$193, 0),MATCH('Company Scorecard - select'!$C$5, 'NZS O&amp;G and CA100'!$E$3:$N$3, 0)),"")</f>
        <v>1</v>
      </c>
      <c r="G55" s="279"/>
      <c r="H55" s="280" t="str">
        <f>IF(INDEX('NZS O&amp;G and CA100'!$D$5:$D$193, MATCH('Company Scorecard - select'!$A55, 'NZS O&amp;G and CA100'!$B$5:$B$193, 0)) = "Alignment", INDEX('NZS O&amp;G and CA100'!$E$5:$N$193, MATCH('Company Scorecard - select'!$A55, 'NZS O&amp;G and CA100'!$B$5:$B$193, 0),MATCH('Company Scorecard - select'!$C$5, 'NZS O&amp;G and CA100'!$E$3:$N$3, 0)),"")</f>
        <v/>
      </c>
      <c r="I55" s="279"/>
      <c r="J55" s="281" t="str">
        <f>IF(OR(INDEX('NZS O&amp;G and CA100'!$D$5:$D$193, MATCH('Company Scorecard - select'!$A55, 'NZS O&amp;G and CA100'!$B$5:$B$193, 0)) = "Climate Solutions", INDEX('NZS O&amp;G and CA100'!$D$5:$D$193, MATCH('Company Scorecard - select'!$A55, 'NZS O&amp;G and CA100'!$B$5:$B$193, 0)) = "Solutions (Al)"), INDEX('NZS O&amp;G and CA100'!$E$5:$N$193, MATCH('Company Scorecard - select'!$A55, 'NZS O&amp;G and CA100'!$B$5:$B$193, 0),MATCH('Company Scorecard - select'!$C$5, 'NZS O&amp;G and CA100'!$E$3:$N$3, 0)),"")</f>
        <v/>
      </c>
      <c r="L55" s="294"/>
      <c r="N55" s="22" t="s">
        <v>76</v>
      </c>
      <c r="DQ55" s="24"/>
      <c r="DR55" s="24"/>
      <c r="DS55" s="24"/>
    </row>
    <row r="56" spans="1:123" s="22" customFormat="1" ht="15" customHeight="1" outlineLevel="2">
      <c r="A56" s="298" t="str">
        <f>LEFT(C56,FIND(":",C56)-1)</f>
        <v>5.1.b</v>
      </c>
      <c r="B56" s="33"/>
      <c r="C56" s="99" t="s">
        <v>103</v>
      </c>
      <c r="D56" s="94" t="s">
        <v>69</v>
      </c>
      <c r="F56" s="280">
        <f>IF(INDEX('NZS O&amp;G and CA100'!$D$5:$D$193, MATCH('Company Scorecard - select'!$A56, 'NZS O&amp;G and CA100'!$B$5:$B$193, 0)) = "Disclosure", INDEX('NZS O&amp;G and CA100'!$E$5:$N$193, MATCH('Company Scorecard - select'!$A56, 'NZS O&amp;G and CA100'!$B$5:$B$193, 0),MATCH('Company Scorecard - select'!$C$5, 'NZS O&amp;G and CA100'!$E$3:$N$3, 0)),"")</f>
        <v>0</v>
      </c>
      <c r="G56" s="279"/>
      <c r="H56" s="280" t="str">
        <f>IF(INDEX('NZS O&amp;G and CA100'!$D$5:$D$193, MATCH('Company Scorecard - select'!$A56, 'NZS O&amp;G and CA100'!$B$5:$B$193, 0)) = "Alignment", INDEX('NZS O&amp;G and CA100'!$E$5:$N$193, MATCH('Company Scorecard - select'!$A56, 'NZS O&amp;G and CA100'!$B$5:$B$193, 0),MATCH('Company Scorecard - select'!$C$5, 'NZS O&amp;G and CA100'!$E$3:$N$3, 0)),"")</f>
        <v/>
      </c>
      <c r="I56" s="279"/>
      <c r="J56" s="281" t="str">
        <f>IF(OR(INDEX('NZS O&amp;G and CA100'!$D$5:$D$193, MATCH('Company Scorecard - select'!$A56, 'NZS O&amp;G and CA100'!$B$5:$B$193, 0)) = "Climate Solutions", INDEX('NZS O&amp;G and CA100'!$D$5:$D$193, MATCH('Company Scorecard - select'!$A56, 'NZS O&amp;G and CA100'!$B$5:$B$193, 0)) = "Solutions (Al)"), INDEX('NZS O&amp;G and CA100'!$E$5:$N$193, MATCH('Company Scorecard - select'!$A56, 'NZS O&amp;G and CA100'!$B$5:$B$193, 0),MATCH('Company Scorecard - select'!$C$5, 'NZS O&amp;G and CA100'!$E$3:$N$3, 0)),"")</f>
        <v/>
      </c>
      <c r="L56" s="294"/>
      <c r="M56" s="22" t="s">
        <v>76</v>
      </c>
      <c r="N56" s="22" t="s">
        <v>76</v>
      </c>
      <c r="DQ56" s="24"/>
      <c r="DR56" s="24"/>
      <c r="DS56" s="24"/>
    </row>
    <row r="57" spans="1:123" s="22" customFormat="1" ht="15" customHeight="1" outlineLevel="2">
      <c r="A57" s="298" t="str">
        <f t="shared" ref="A57:A58" si="2">LEFT(C57,FIND(":",C57)-1)</f>
        <v>5.i.a</v>
      </c>
      <c r="B57" s="33"/>
      <c r="C57" s="97" t="s">
        <v>104</v>
      </c>
      <c r="D57" s="94" t="s">
        <v>70</v>
      </c>
      <c r="F57" s="280">
        <f>IF(INDEX('NZS O&amp;G and CA100'!$D$5:$D$193, MATCH('Company Scorecard - select'!$A57, 'NZS O&amp;G and CA100'!$B$5:$B$193, 0)) = "Disclosure", INDEX('NZS O&amp;G and CA100'!$E$5:$N$193, MATCH('Company Scorecard - select'!$A57, 'NZS O&amp;G and CA100'!$B$5:$B$193, 0),MATCH('Company Scorecard - select'!$C$5, 'NZS O&amp;G and CA100'!$E$3:$N$3, 0)),"")</f>
        <v>0</v>
      </c>
      <c r="G57" s="279"/>
      <c r="H57" s="280" t="str">
        <f>IF(INDEX('NZS O&amp;G and CA100'!$D$5:$D$193, MATCH('Company Scorecard - select'!$A57, 'NZS O&amp;G and CA100'!$B$5:$B$193, 0)) = "Alignment", INDEX('NZS O&amp;G and CA100'!$E$5:$N$193, MATCH('Company Scorecard - select'!$A57, 'NZS O&amp;G and CA100'!$B$5:$B$193, 0),MATCH('Company Scorecard - select'!$C$5, 'NZS O&amp;G and CA100'!$E$3:$N$3, 0)),"")</f>
        <v/>
      </c>
      <c r="I57" s="279"/>
      <c r="J57" s="281" t="str">
        <f>IF(OR(INDEX('NZS O&amp;G and CA100'!$D$5:$D$193, MATCH('Company Scorecard - select'!$A57, 'NZS O&amp;G and CA100'!$B$5:$B$193, 0)) = "Climate Solutions", INDEX('NZS O&amp;G and CA100'!$D$5:$D$193, MATCH('Company Scorecard - select'!$A57, 'NZS O&amp;G and CA100'!$B$5:$B$193, 0)) = "Solutions (Al)"), INDEX('NZS O&amp;G and CA100'!$E$5:$N$193, MATCH('Company Scorecard - select'!$A57, 'NZS O&amp;G and CA100'!$B$5:$B$193, 0),MATCH('Company Scorecard - select'!$C$5, 'NZS O&amp;G and CA100'!$E$3:$N$3, 0)),"")</f>
        <v/>
      </c>
      <c r="K57" s="22" t="s">
        <v>76</v>
      </c>
      <c r="L57" s="294"/>
      <c r="M57" s="22" t="s">
        <v>76</v>
      </c>
      <c r="N57" s="22" t="s">
        <v>76</v>
      </c>
      <c r="DQ57" s="24"/>
      <c r="DR57" s="24"/>
      <c r="DS57" s="24"/>
    </row>
    <row r="58" spans="1:123" s="22" customFormat="1" ht="15" customHeight="1" outlineLevel="2">
      <c r="A58" s="298" t="str">
        <f t="shared" si="2"/>
        <v>5.i.b</v>
      </c>
      <c r="B58" s="33"/>
      <c r="C58" s="97" t="s">
        <v>105</v>
      </c>
      <c r="D58" s="94" t="s">
        <v>70</v>
      </c>
      <c r="F58" s="280">
        <f>IF(INDEX('NZS O&amp;G and CA100'!$D$5:$D$193, MATCH('Company Scorecard - select'!$A58, 'NZS O&amp;G and CA100'!$B$5:$B$193, 0)) = "Disclosure", INDEX('NZS O&amp;G and CA100'!$E$5:$N$193, MATCH('Company Scorecard - select'!$A58, 'NZS O&amp;G and CA100'!$B$5:$B$193, 0),MATCH('Company Scorecard - select'!$C$5, 'NZS O&amp;G and CA100'!$E$3:$N$3, 0)),"")</f>
        <v>0</v>
      </c>
      <c r="G58" s="279"/>
      <c r="H58" s="280" t="str">
        <f>IF(INDEX('NZS O&amp;G and CA100'!$D$5:$D$193, MATCH('Company Scorecard - select'!$A58, 'NZS O&amp;G and CA100'!$B$5:$B$193, 0)) = "Alignment", INDEX('NZS O&amp;G and CA100'!$E$5:$N$193, MATCH('Company Scorecard - select'!$A58, 'NZS O&amp;G and CA100'!$B$5:$B$193, 0),MATCH('Company Scorecard - select'!$C$5, 'NZS O&amp;G and CA100'!$E$3:$N$3, 0)),"")</f>
        <v/>
      </c>
      <c r="I58" s="279"/>
      <c r="J58" s="281" t="str">
        <f>IF(OR(INDEX('NZS O&amp;G and CA100'!$D$5:$D$193, MATCH('Company Scorecard - select'!$A58, 'NZS O&amp;G and CA100'!$B$5:$B$193, 0)) = "Climate Solutions", INDEX('NZS O&amp;G and CA100'!$D$5:$D$193, MATCH('Company Scorecard - select'!$A58, 'NZS O&amp;G and CA100'!$B$5:$B$193, 0)) = "Solutions (Al)"), INDEX('NZS O&amp;G and CA100'!$E$5:$N$193, MATCH('Company Scorecard - select'!$A58, 'NZS O&amp;G and CA100'!$B$5:$B$193, 0),MATCH('Company Scorecard - select'!$C$5, 'NZS O&amp;G and CA100'!$E$3:$N$3, 0)),"")</f>
        <v/>
      </c>
      <c r="K58" s="22" t="s">
        <v>76</v>
      </c>
      <c r="L58" s="294"/>
      <c r="M58" s="22" t="s">
        <v>76</v>
      </c>
      <c r="N58" s="22" t="s">
        <v>76</v>
      </c>
      <c r="DQ58" s="24"/>
      <c r="DR58" s="24"/>
      <c r="DS58" s="24"/>
    </row>
    <row r="59" spans="1:123" s="22" customFormat="1" ht="15" customHeight="1" outlineLevel="2">
      <c r="A59" s="298" t="s">
        <v>106</v>
      </c>
      <c r="B59" s="33"/>
      <c r="C59" s="99" t="s">
        <v>107</v>
      </c>
      <c r="D59" s="94" t="s">
        <v>93</v>
      </c>
      <c r="F59" s="280" t="str">
        <f>IF(INDEX('NZS O&amp;G and CA100'!$D$5:$D$193, MATCH('Company Scorecard - select'!$A59, 'NZS O&amp;G and CA100'!$B$5:$B$193, 0)) = "Disclosure", INDEX('NZS O&amp;G and CA100'!$E$5:$N$193, MATCH('Company Scorecard - select'!$A59, 'NZS O&amp;G and CA100'!$B$5:$B$193, 0),MATCH('Company Scorecard - select'!$C$5, 'NZS O&amp;G and CA100'!$E$3:$N$3, 0)),"")</f>
        <v>Under development</v>
      </c>
      <c r="G59" s="279"/>
      <c r="H59" s="280" t="str">
        <f>IF(INDEX('NZS O&amp;G and CA100'!$D$5:$D$193, MATCH('Company Scorecard - select'!$A59, 'NZS O&amp;G and CA100'!$B$5:$B$193, 0)) = "Alignment", INDEX('NZS O&amp;G and CA100'!$E$5:$N$193, MATCH('Company Scorecard - select'!$A59, 'NZS O&amp;G and CA100'!$B$5:$B$193, 0),MATCH('Company Scorecard - select'!$C$5, 'NZS O&amp;G and CA100'!$E$3:$N$3, 0)),"")</f>
        <v/>
      </c>
      <c r="I59" s="279"/>
      <c r="J59" s="281" t="str">
        <f>IF(OR(INDEX('NZS O&amp;G and CA100'!$D$5:$D$193, MATCH('Company Scorecard - select'!$A59, 'NZS O&amp;G and CA100'!$B$5:$B$193, 0)) = "Climate Solutions", INDEX('NZS O&amp;G and CA100'!$D$5:$D$193, MATCH('Company Scorecard - select'!$A59, 'NZS O&amp;G and CA100'!$B$5:$B$193, 0)) = "Solutions (Al)"), INDEX('NZS O&amp;G and CA100'!$E$5:$N$193, MATCH('Company Scorecard - select'!$A59, 'NZS O&amp;G and CA100'!$B$5:$B$193, 0),MATCH('Company Scorecard - select'!$C$5, 'NZS O&amp;G and CA100'!$E$3:$N$3, 0)),"")</f>
        <v/>
      </c>
      <c r="K59" s="22" t="s">
        <v>76</v>
      </c>
      <c r="L59" s="294"/>
      <c r="M59" s="22" t="s">
        <v>76</v>
      </c>
      <c r="N59" s="22" t="s">
        <v>76</v>
      </c>
      <c r="DQ59" s="24"/>
      <c r="DR59" s="24"/>
      <c r="DS59" s="24"/>
    </row>
    <row r="60" spans="1:123" s="22" customFormat="1" ht="17.5" customHeight="1" outlineLevel="1">
      <c r="A60" s="297" t="s">
        <v>108</v>
      </c>
      <c r="B60" s="33"/>
      <c r="C60" s="102" t="s">
        <v>109</v>
      </c>
      <c r="D60" s="92" t="s">
        <v>70</v>
      </c>
      <c r="E60" s="26"/>
      <c r="F60" s="280">
        <f>SUM(F61,F62,F64,F65,F66,F67,F68,F69,F70,F71,F72,F73,F74)/COUNT(F61,F62,F64,F65,F66,F67,F68,F69,F70,F71,F72,F73,F74)</f>
        <v>0.1</v>
      </c>
      <c r="G60" s="279"/>
      <c r="H60" s="281">
        <f>H63</f>
        <v>0</v>
      </c>
      <c r="I60" s="279"/>
      <c r="J60" s="281" t="str">
        <f>IF(OR(INDEX('NZS O&amp;G and CA100'!$D$5:$D$193, MATCH('Company Scorecard - select'!$A60, 'NZS O&amp;G and CA100'!$B$5:$B$193, 0)) = "Climate Solutions", INDEX('NZS O&amp;G and CA100'!$D$5:$D$193, MATCH('Company Scorecard - select'!$A60, 'NZS O&amp;G and CA100'!$B$5:$B$193, 0)) = "Solutions (Al)"), INDEX('NZS O&amp;G and CA100'!$E$5:$N$193, MATCH('Company Scorecard - select'!$A60, 'NZS O&amp;G and CA100'!$B$5:$B$193, 0),MATCH('Company Scorecard - select'!$C$5, 'NZS O&amp;G and CA100'!$E$3:$N$3, 0)),"")</f>
        <v/>
      </c>
      <c r="K60" s="22" t="s">
        <v>76</v>
      </c>
      <c r="L60" s="294"/>
      <c r="M60" s="22" t="s">
        <v>76</v>
      </c>
      <c r="N60" s="22" t="s">
        <v>76</v>
      </c>
      <c r="DQ60" s="24"/>
      <c r="DR60" s="24"/>
      <c r="DS60" s="24"/>
    </row>
    <row r="61" spans="1:123" s="22" customFormat="1" ht="15" customHeight="1" outlineLevel="2">
      <c r="A61" s="298" t="str">
        <f>LEFT(C61,FIND(":",C61)-1)</f>
        <v>5.1.c</v>
      </c>
      <c r="B61" s="33"/>
      <c r="C61" s="99" t="s">
        <v>110</v>
      </c>
      <c r="D61" s="94" t="s">
        <v>69</v>
      </c>
      <c r="F61" s="280">
        <f>IF(INDEX('NZS O&amp;G and CA100'!$D$5:$D$193, MATCH('Company Scorecard - select'!$A61, 'NZS O&amp;G and CA100'!$B$5:$B$193, 0)) = "Disclosure", INDEX('NZS O&amp;G and CA100'!$E$5:$N$193, MATCH('Company Scorecard - select'!$A61, 'NZS O&amp;G and CA100'!$B$5:$B$193, 0),MATCH('Company Scorecard - select'!$C$5, 'NZS O&amp;G and CA100'!$E$3:$N$3, 0)),"")</f>
        <v>0</v>
      </c>
      <c r="G61" s="279"/>
      <c r="H61" s="280" t="str">
        <f>IF(INDEX('NZS O&amp;G and CA100'!$D$5:$D$193, MATCH('Company Scorecard - select'!$A61, 'NZS O&amp;G and CA100'!$B$5:$B$193, 0)) = "Alignment", INDEX('NZS O&amp;G and CA100'!$E$5:$N$193, MATCH('Company Scorecard - select'!$A61, 'NZS O&amp;G and CA100'!$B$5:$B$193, 0),MATCH('Company Scorecard - select'!$C$5, 'NZS O&amp;G and CA100'!$E$3:$N$3, 0)),"")</f>
        <v/>
      </c>
      <c r="I61" s="279"/>
      <c r="J61" s="281" t="str">
        <f>IF(OR(INDEX('NZS O&amp;G and CA100'!$D$5:$D$193, MATCH('Company Scorecard - select'!$A61, 'NZS O&amp;G and CA100'!$B$5:$B$193, 0)) = "Climate Solutions", INDEX('NZS O&amp;G and CA100'!$D$5:$D$193, MATCH('Company Scorecard - select'!$A61, 'NZS O&amp;G and CA100'!$B$5:$B$193, 0)) = "Solutions (Al)"), INDEX('NZS O&amp;G and CA100'!$E$5:$N$193, MATCH('Company Scorecard - select'!$A61, 'NZS O&amp;G and CA100'!$B$5:$B$193, 0),MATCH('Company Scorecard - select'!$C$5, 'NZS O&amp;G and CA100'!$E$3:$N$3, 0)),"")</f>
        <v/>
      </c>
      <c r="K61" s="22" t="s">
        <v>76</v>
      </c>
      <c r="L61" s="294"/>
      <c r="M61" s="22" t="s">
        <v>76</v>
      </c>
      <c r="N61" s="22" t="s">
        <v>76</v>
      </c>
      <c r="DQ61" s="24"/>
      <c r="DR61" s="24"/>
      <c r="DS61" s="24"/>
    </row>
    <row r="62" spans="1:123" s="22" customFormat="1" ht="15" customHeight="1" outlineLevel="2">
      <c r="A62" s="298" t="str">
        <f t="shared" ref="A62:A74" si="3">LEFT(C62,FIND(":",C62)-1)</f>
        <v>5.ii.a</v>
      </c>
      <c r="B62" s="33"/>
      <c r="C62" s="97" t="s">
        <v>111</v>
      </c>
      <c r="D62" s="94" t="s">
        <v>70</v>
      </c>
      <c r="F62" s="280">
        <f>IF(INDEX('NZS O&amp;G and CA100'!$D$5:$D$193, MATCH('Company Scorecard - select'!$A62, 'NZS O&amp;G and CA100'!$B$5:$B$193, 0)) = "Disclosure", INDEX('NZS O&amp;G and CA100'!$E$5:$N$193, MATCH('Company Scorecard - select'!$A62, 'NZS O&amp;G and CA100'!$B$5:$B$193, 0),MATCH('Company Scorecard - select'!$C$5, 'NZS O&amp;G and CA100'!$E$3:$N$3, 0)),"")</f>
        <v>0</v>
      </c>
      <c r="G62" s="279"/>
      <c r="H62" s="280" t="str">
        <f>IF(INDEX('NZS O&amp;G and CA100'!$D$5:$D$193, MATCH('Company Scorecard - select'!$A62, 'NZS O&amp;G and CA100'!$B$5:$B$193, 0)) = "Alignment", INDEX('NZS O&amp;G and CA100'!$E$5:$N$193, MATCH('Company Scorecard - select'!$A62, 'NZS O&amp;G and CA100'!$B$5:$B$193, 0),MATCH('Company Scorecard - select'!$C$5, 'NZS O&amp;G and CA100'!$E$3:$N$3, 0)),"")</f>
        <v/>
      </c>
      <c r="I62" s="279"/>
      <c r="J62" s="281" t="str">
        <f>IF(OR(INDEX('NZS O&amp;G and CA100'!$D$5:$D$193, MATCH('Company Scorecard - select'!$A62, 'NZS O&amp;G and CA100'!$B$5:$B$193, 0)) = "Climate Solutions", INDEX('NZS O&amp;G and CA100'!$D$5:$D$193, MATCH('Company Scorecard - select'!$A62, 'NZS O&amp;G and CA100'!$B$5:$B$193, 0)) = "Solutions (Al)"), INDEX('NZS O&amp;G and CA100'!$E$5:$N$193, MATCH('Company Scorecard - select'!$A62, 'NZS O&amp;G and CA100'!$B$5:$B$193, 0),MATCH('Company Scorecard - select'!$C$5, 'NZS O&amp;G and CA100'!$E$3:$N$3, 0)),"")</f>
        <v/>
      </c>
      <c r="K62" s="22" t="s">
        <v>76</v>
      </c>
      <c r="L62" s="294"/>
      <c r="M62" s="22" t="s">
        <v>76</v>
      </c>
      <c r="N62" s="22" t="s">
        <v>76</v>
      </c>
      <c r="DQ62" s="24"/>
      <c r="DR62" s="24"/>
      <c r="DS62" s="24"/>
    </row>
    <row r="63" spans="1:123" s="22" customFormat="1" ht="15" customHeight="1" outlineLevel="2">
      <c r="A63" s="298" t="str">
        <f t="shared" si="3"/>
        <v>5.ii.b</v>
      </c>
      <c r="B63" s="33"/>
      <c r="C63" s="97" t="s">
        <v>112</v>
      </c>
      <c r="D63" s="94" t="s">
        <v>70</v>
      </c>
      <c r="F63" s="280" t="str">
        <f>IF(INDEX('NZS O&amp;G and CA100'!$D$5:$D$193, MATCH('Company Scorecard - select'!$A63, 'NZS O&amp;G and CA100'!$B$5:$B$193, 0)) = "Disclosure", INDEX('NZS O&amp;G and CA100'!$E$5:$N$193, MATCH('Company Scorecard - select'!$A63, 'NZS O&amp;G and CA100'!$B$5:$B$193, 0),MATCH('Company Scorecard - select'!$C$5, 'NZS O&amp;G and CA100'!$E$3:$N$3, 0)),"")</f>
        <v/>
      </c>
      <c r="G63" s="279"/>
      <c r="H63" s="280">
        <f>IF(INDEX('NZS O&amp;G and CA100'!$D$5:$D$193, MATCH('Company Scorecard - select'!$A63, 'NZS O&amp;G and CA100'!$B$5:$B$193, 0)) = "Alignment", INDEX('NZS O&amp;G and CA100'!$E$5:$N$193, MATCH('Company Scorecard - select'!$A63, 'NZS O&amp;G and CA100'!$B$5:$B$193, 0),MATCH('Company Scorecard - select'!$C$5, 'NZS O&amp;G and CA100'!$E$3:$N$3, 0)),"")</f>
        <v>0</v>
      </c>
      <c r="I63" s="279"/>
      <c r="J63" s="281" t="str">
        <f>IF(OR(INDEX('NZS O&amp;G and CA100'!$D$5:$D$193, MATCH('Company Scorecard - select'!$A63, 'NZS O&amp;G and CA100'!$B$5:$B$193, 0)) = "Climate Solutions", INDEX('NZS O&amp;G and CA100'!$D$5:$D$193, MATCH('Company Scorecard - select'!$A63, 'NZS O&amp;G and CA100'!$B$5:$B$193, 0)) = "Solutions (Al)"), INDEX('NZS O&amp;G and CA100'!$E$5:$N$193, MATCH('Company Scorecard - select'!$A63, 'NZS O&amp;G and CA100'!$B$5:$B$193, 0),MATCH('Company Scorecard - select'!$C$5, 'NZS O&amp;G and CA100'!$E$3:$N$3, 0)),"")</f>
        <v/>
      </c>
      <c r="K63" s="22" t="s">
        <v>76</v>
      </c>
      <c r="L63" s="294"/>
      <c r="M63" s="22" t="s">
        <v>76</v>
      </c>
      <c r="N63" s="22" t="s">
        <v>76</v>
      </c>
      <c r="DQ63" s="24"/>
      <c r="DR63" s="24"/>
      <c r="DS63" s="24"/>
    </row>
    <row r="64" spans="1:123" s="22" customFormat="1" ht="15" customHeight="1" outlineLevel="2">
      <c r="A64" s="298" t="str">
        <f t="shared" si="3"/>
        <v>5.ii.c</v>
      </c>
      <c r="B64" s="33"/>
      <c r="C64" s="97" t="s">
        <v>113</v>
      </c>
      <c r="D64" s="94" t="s">
        <v>70</v>
      </c>
      <c r="F64" s="280">
        <f>IF(INDEX('NZS O&amp;G and CA100'!$D$5:$D$193, MATCH('Company Scorecard - select'!$A64, 'NZS O&amp;G and CA100'!$B$5:$B$193, 0)) = "Disclosure", INDEX('NZS O&amp;G and CA100'!$E$5:$N$193, MATCH('Company Scorecard - select'!$A64, 'NZS O&amp;G and CA100'!$B$5:$B$193, 0),MATCH('Company Scorecard - select'!$C$5, 'NZS O&amp;G and CA100'!$E$3:$N$3, 0)),"")</f>
        <v>0</v>
      </c>
      <c r="G64" s="279"/>
      <c r="H64" s="280" t="str">
        <f>IF(INDEX('NZS O&amp;G and CA100'!$D$5:$D$193, MATCH('Company Scorecard - select'!$A64, 'NZS O&amp;G and CA100'!$B$5:$B$193, 0)) = "Alignment", INDEX('NZS O&amp;G and CA100'!$E$5:$N$193, MATCH('Company Scorecard - select'!$A64, 'NZS O&amp;G and CA100'!$B$5:$B$193, 0),MATCH('Company Scorecard - select'!$C$5, 'NZS O&amp;G and CA100'!$E$3:$N$3, 0)),"")</f>
        <v/>
      </c>
      <c r="I64" s="279"/>
      <c r="J64" s="281" t="str">
        <f>IF(OR(INDEX('NZS O&amp;G and CA100'!$D$5:$D$193, MATCH('Company Scorecard - select'!$A64, 'NZS O&amp;G and CA100'!$B$5:$B$193, 0)) = "Climate Solutions", INDEX('NZS O&amp;G and CA100'!$D$5:$D$193, MATCH('Company Scorecard - select'!$A64, 'NZS O&amp;G and CA100'!$B$5:$B$193, 0)) = "Solutions (Al)"), INDEX('NZS O&amp;G and CA100'!$E$5:$N$193, MATCH('Company Scorecard - select'!$A64, 'NZS O&amp;G and CA100'!$B$5:$B$193, 0),MATCH('Company Scorecard - select'!$C$5, 'NZS O&amp;G and CA100'!$E$3:$N$3, 0)),"")</f>
        <v/>
      </c>
      <c r="K64" s="22" t="s">
        <v>76</v>
      </c>
      <c r="L64" s="294"/>
      <c r="M64" s="22" t="s">
        <v>76</v>
      </c>
      <c r="N64" s="22" t="s">
        <v>76</v>
      </c>
      <c r="DQ64" s="24"/>
      <c r="DR64" s="24"/>
      <c r="DS64" s="24"/>
    </row>
    <row r="65" spans="1:123" s="22" customFormat="1" ht="15" customHeight="1" outlineLevel="2">
      <c r="A65" s="298" t="str">
        <f t="shared" si="3"/>
        <v>5.ii.d</v>
      </c>
      <c r="B65" s="33"/>
      <c r="C65" s="97" t="s">
        <v>114</v>
      </c>
      <c r="D65" s="94" t="s">
        <v>70</v>
      </c>
      <c r="F65" s="280">
        <f>IF(INDEX('NZS O&amp;G and CA100'!$D$5:$D$193, MATCH('Company Scorecard - select'!$A65, 'NZS O&amp;G and CA100'!$B$5:$B$193, 0)) = "Disclosure", INDEX('NZS O&amp;G and CA100'!$E$5:$N$193, MATCH('Company Scorecard - select'!$A65, 'NZS O&amp;G and CA100'!$B$5:$B$193, 0),MATCH('Company Scorecard - select'!$C$5, 'NZS O&amp;G and CA100'!$E$3:$N$3, 0)),"")</f>
        <v>0</v>
      </c>
      <c r="G65" s="279"/>
      <c r="H65" s="280" t="str">
        <f>IF(INDEX('NZS O&amp;G and CA100'!$D$5:$D$193, MATCH('Company Scorecard - select'!$A65, 'NZS O&amp;G and CA100'!$B$5:$B$193, 0)) = "Alignment", INDEX('NZS O&amp;G and CA100'!$E$5:$N$193, MATCH('Company Scorecard - select'!$A65, 'NZS O&amp;G and CA100'!$B$5:$B$193, 0),MATCH('Company Scorecard - select'!$C$5, 'NZS O&amp;G and CA100'!$E$3:$N$3, 0)),"")</f>
        <v/>
      </c>
      <c r="I65" s="279"/>
      <c r="J65" s="281" t="str">
        <f>IF(OR(INDEX('NZS O&amp;G and CA100'!$D$5:$D$193, MATCH('Company Scorecard - select'!$A65, 'NZS O&amp;G and CA100'!$B$5:$B$193, 0)) = "Climate Solutions", INDEX('NZS O&amp;G and CA100'!$D$5:$D$193, MATCH('Company Scorecard - select'!$A65, 'NZS O&amp;G and CA100'!$B$5:$B$193, 0)) = "Solutions (Al)"), INDEX('NZS O&amp;G and CA100'!$E$5:$N$193, MATCH('Company Scorecard - select'!$A65, 'NZS O&amp;G and CA100'!$B$5:$B$193, 0),MATCH('Company Scorecard - select'!$C$5, 'NZS O&amp;G and CA100'!$E$3:$N$3, 0)),"")</f>
        <v/>
      </c>
      <c r="K65" s="22" t="s">
        <v>76</v>
      </c>
      <c r="L65" s="294"/>
      <c r="M65" s="22" t="s">
        <v>76</v>
      </c>
      <c r="N65" s="22" t="s">
        <v>76</v>
      </c>
      <c r="DQ65" s="24"/>
      <c r="DR65" s="24"/>
      <c r="DS65" s="24"/>
    </row>
    <row r="66" spans="1:123" s="22" customFormat="1" ht="15" customHeight="1" outlineLevel="2">
      <c r="A66" s="298" t="str">
        <f t="shared" si="3"/>
        <v>5.ii.e</v>
      </c>
      <c r="B66" s="33"/>
      <c r="C66" s="97" t="s">
        <v>115</v>
      </c>
      <c r="D66" s="94" t="s">
        <v>70</v>
      </c>
      <c r="F66" s="280" t="str">
        <f>IF(INDEX('NZS O&amp;G and CA100'!$D$5:$D$193, MATCH('Company Scorecard - select'!$A66, 'NZS O&amp;G and CA100'!$B$5:$B$193, 0)) = "Disclosure", INDEX('NZS O&amp;G and CA100'!$E$5:$N$193, MATCH('Company Scorecard - select'!$A66, 'NZS O&amp;G and CA100'!$B$5:$B$193, 0),MATCH('Company Scorecard - select'!$C$5, 'NZS O&amp;G and CA100'!$E$3:$N$3, 0)),"")</f>
        <v>Not Applicable</v>
      </c>
      <c r="G66" s="279"/>
      <c r="H66" s="280" t="str">
        <f>IF(INDEX('NZS O&amp;G and CA100'!$D$5:$D$193, MATCH('Company Scorecard - select'!$A66, 'NZS O&amp;G and CA100'!$B$5:$B$193, 0)) = "Alignment", INDEX('NZS O&amp;G and CA100'!$E$5:$N$193, MATCH('Company Scorecard - select'!$A66, 'NZS O&amp;G and CA100'!$B$5:$B$193, 0),MATCH('Company Scorecard - select'!$C$5, 'NZS O&amp;G and CA100'!$E$3:$N$3, 0)),"")</f>
        <v/>
      </c>
      <c r="I66" s="279"/>
      <c r="J66" s="281" t="str">
        <f>IF(OR(INDEX('NZS O&amp;G and CA100'!$D$5:$D$193, MATCH('Company Scorecard - select'!$A66, 'NZS O&amp;G and CA100'!$B$5:$B$193, 0)) = "Climate Solutions", INDEX('NZS O&amp;G and CA100'!$D$5:$D$193, MATCH('Company Scorecard - select'!$A66, 'NZS O&amp;G and CA100'!$B$5:$B$193, 0)) = "Solutions (Al)"), INDEX('NZS O&amp;G and CA100'!$E$5:$N$193, MATCH('Company Scorecard - select'!$A66, 'NZS O&amp;G and CA100'!$B$5:$B$193, 0),MATCH('Company Scorecard - select'!$C$5, 'NZS O&amp;G and CA100'!$E$3:$N$3, 0)),"")</f>
        <v/>
      </c>
      <c r="K66" s="22" t="s">
        <v>76</v>
      </c>
      <c r="L66" s="294"/>
      <c r="M66" s="22" t="s">
        <v>76</v>
      </c>
      <c r="N66" s="22" t="s">
        <v>76</v>
      </c>
      <c r="DQ66" s="24"/>
      <c r="DR66" s="24"/>
      <c r="DS66" s="24"/>
    </row>
    <row r="67" spans="1:123" s="22" customFormat="1" ht="15" customHeight="1" outlineLevel="2">
      <c r="A67" s="298" t="str">
        <f t="shared" si="3"/>
        <v>5.ii.f</v>
      </c>
      <c r="B67" s="33"/>
      <c r="C67" s="97" t="s">
        <v>116</v>
      </c>
      <c r="D67" s="94" t="s">
        <v>70</v>
      </c>
      <c r="F67" s="280">
        <f>IF(INDEX('NZS O&amp;G and CA100'!$D$5:$D$193, MATCH('Company Scorecard - select'!$A67, 'NZS O&amp;G and CA100'!$B$5:$B$193, 0)) = "Disclosure", INDEX('NZS O&amp;G and CA100'!$E$5:$N$193, MATCH('Company Scorecard - select'!$A67, 'NZS O&amp;G and CA100'!$B$5:$B$193, 0),MATCH('Company Scorecard - select'!$C$5, 'NZS O&amp;G and CA100'!$E$3:$N$3, 0)),"")</f>
        <v>0</v>
      </c>
      <c r="G67" s="279"/>
      <c r="H67" s="280" t="str">
        <f>IF(INDEX('NZS O&amp;G and CA100'!$D$5:$D$193, MATCH('Company Scorecard - select'!$A67, 'NZS O&amp;G and CA100'!$B$5:$B$193, 0)) = "Alignment", INDEX('NZS O&amp;G and CA100'!$E$5:$N$193, MATCH('Company Scorecard - select'!$A67, 'NZS O&amp;G and CA100'!$B$5:$B$193, 0),MATCH('Company Scorecard - select'!$C$5, 'NZS O&amp;G and CA100'!$E$3:$N$3, 0)),"")</f>
        <v/>
      </c>
      <c r="I67" s="279"/>
      <c r="J67" s="281" t="str">
        <f>IF(OR(INDEX('NZS O&amp;G and CA100'!$D$5:$D$193, MATCH('Company Scorecard - select'!$A67, 'NZS O&amp;G and CA100'!$B$5:$B$193, 0)) = "Climate Solutions", INDEX('NZS O&amp;G and CA100'!$D$5:$D$193, MATCH('Company Scorecard - select'!$A67, 'NZS O&amp;G and CA100'!$B$5:$B$193, 0)) = "Solutions (Al)"), INDEX('NZS O&amp;G and CA100'!$E$5:$N$193, MATCH('Company Scorecard - select'!$A67, 'NZS O&amp;G and CA100'!$B$5:$B$193, 0),MATCH('Company Scorecard - select'!$C$5, 'NZS O&amp;G and CA100'!$E$3:$N$3, 0)),"")</f>
        <v/>
      </c>
      <c r="K67" s="22" t="s">
        <v>76</v>
      </c>
      <c r="L67" s="294"/>
      <c r="M67" s="22" t="s">
        <v>76</v>
      </c>
      <c r="N67" s="22" t="s">
        <v>76</v>
      </c>
      <c r="DQ67" s="24"/>
      <c r="DR67" s="24"/>
      <c r="DS67" s="24"/>
    </row>
    <row r="68" spans="1:123" s="22" customFormat="1" ht="15" customHeight="1" outlineLevel="2">
      <c r="A68" s="298" t="str">
        <f t="shared" si="3"/>
        <v>5.ii.g</v>
      </c>
      <c r="B68" s="33"/>
      <c r="C68" s="97" t="s">
        <v>117</v>
      </c>
      <c r="D68" s="94" t="s">
        <v>70</v>
      </c>
      <c r="F68" s="280">
        <f>IF(INDEX('NZS O&amp;G and CA100'!$D$5:$D$193, MATCH('Company Scorecard - select'!$A68, 'NZS O&amp;G and CA100'!$B$5:$B$193, 0)) = "Disclosure", INDEX('NZS O&amp;G and CA100'!$E$5:$N$193, MATCH('Company Scorecard - select'!$A68, 'NZS O&amp;G and CA100'!$B$5:$B$193, 0),MATCH('Company Scorecard - select'!$C$5, 'NZS O&amp;G and CA100'!$E$3:$N$3, 0)),"")</f>
        <v>0</v>
      </c>
      <c r="G68" s="279"/>
      <c r="H68" s="280" t="str">
        <f>IF(INDEX('NZS O&amp;G and CA100'!$D$5:$D$193, MATCH('Company Scorecard - select'!$A68, 'NZS O&amp;G and CA100'!$B$5:$B$193, 0)) = "Alignment", INDEX('NZS O&amp;G and CA100'!$E$5:$N$193, MATCH('Company Scorecard - select'!$A68, 'NZS O&amp;G and CA100'!$B$5:$B$193, 0),MATCH('Company Scorecard - select'!$C$5, 'NZS O&amp;G and CA100'!$E$3:$N$3, 0)),"")</f>
        <v/>
      </c>
      <c r="I68" s="279"/>
      <c r="J68" s="281" t="str">
        <f>IF(OR(INDEX('NZS O&amp;G and CA100'!$D$5:$D$193, MATCH('Company Scorecard - select'!$A68, 'NZS O&amp;G and CA100'!$B$5:$B$193, 0)) = "Climate Solutions", INDEX('NZS O&amp;G and CA100'!$D$5:$D$193, MATCH('Company Scorecard - select'!$A68, 'NZS O&amp;G and CA100'!$B$5:$B$193, 0)) = "Solutions (Al)"), INDEX('NZS O&amp;G and CA100'!$E$5:$N$193, MATCH('Company Scorecard - select'!$A68, 'NZS O&amp;G and CA100'!$B$5:$B$193, 0),MATCH('Company Scorecard - select'!$C$5, 'NZS O&amp;G and CA100'!$E$3:$N$3, 0)),"")</f>
        <v/>
      </c>
      <c r="K68" s="22" t="s">
        <v>76</v>
      </c>
      <c r="L68" s="294"/>
      <c r="M68" s="22" t="s">
        <v>76</v>
      </c>
      <c r="N68" s="22" t="s">
        <v>76</v>
      </c>
      <c r="DQ68" s="24"/>
      <c r="DR68" s="24"/>
      <c r="DS68" s="24"/>
    </row>
    <row r="69" spans="1:123" s="22" customFormat="1" ht="15" customHeight="1" outlineLevel="2">
      <c r="A69" s="298" t="str">
        <f t="shared" si="3"/>
        <v>5.ii.h</v>
      </c>
      <c r="B69" s="33"/>
      <c r="C69" s="97" t="s">
        <v>118</v>
      </c>
      <c r="D69" s="94" t="s">
        <v>70</v>
      </c>
      <c r="F69" s="280">
        <f>IF(INDEX('NZS O&amp;G and CA100'!$D$5:$D$193, MATCH('Company Scorecard - select'!$A69, 'NZS O&amp;G and CA100'!$B$5:$B$193, 0)) = "Disclosure", INDEX('NZS O&amp;G and CA100'!$E$5:$N$193, MATCH('Company Scorecard - select'!$A69, 'NZS O&amp;G and CA100'!$B$5:$B$193, 0),MATCH('Company Scorecard - select'!$C$5, 'NZS O&amp;G and CA100'!$E$3:$N$3, 0)),"")</f>
        <v>1</v>
      </c>
      <c r="G69" s="279"/>
      <c r="H69" s="280" t="str">
        <f>IF(INDEX('NZS O&amp;G and CA100'!$D$5:$D$193, MATCH('Company Scorecard - select'!$A69, 'NZS O&amp;G and CA100'!$B$5:$B$193, 0)) = "Alignment", INDEX('NZS O&amp;G and CA100'!$E$5:$N$193, MATCH('Company Scorecard - select'!$A69, 'NZS O&amp;G and CA100'!$B$5:$B$193, 0),MATCH('Company Scorecard - select'!$C$5, 'NZS O&amp;G and CA100'!$E$3:$N$3, 0)),"")</f>
        <v/>
      </c>
      <c r="I69" s="279"/>
      <c r="J69" s="281" t="str">
        <f>IF(OR(INDEX('NZS O&amp;G and CA100'!$D$5:$D$193, MATCH('Company Scorecard - select'!$A69, 'NZS O&amp;G and CA100'!$B$5:$B$193, 0)) = "Climate Solutions", INDEX('NZS O&amp;G and CA100'!$D$5:$D$193, MATCH('Company Scorecard - select'!$A69, 'NZS O&amp;G and CA100'!$B$5:$B$193, 0)) = "Solutions (Al)"), INDEX('NZS O&amp;G and CA100'!$E$5:$N$193, MATCH('Company Scorecard - select'!$A69, 'NZS O&amp;G and CA100'!$B$5:$B$193, 0),MATCH('Company Scorecard - select'!$C$5, 'NZS O&amp;G and CA100'!$E$3:$N$3, 0)),"")</f>
        <v/>
      </c>
      <c r="K69" s="22" t="s">
        <v>76</v>
      </c>
      <c r="L69" s="294"/>
      <c r="M69" s="22" t="s">
        <v>76</v>
      </c>
      <c r="N69" s="22" t="s">
        <v>76</v>
      </c>
      <c r="DQ69" s="24"/>
      <c r="DR69" s="24"/>
      <c r="DS69" s="24"/>
    </row>
    <row r="70" spans="1:123" s="22" customFormat="1" ht="15" customHeight="1" outlineLevel="2">
      <c r="A70" s="298" t="str">
        <f t="shared" si="3"/>
        <v>5.ii.i</v>
      </c>
      <c r="B70" s="33"/>
      <c r="C70" s="97" t="s">
        <v>119</v>
      </c>
      <c r="D70" s="94" t="s">
        <v>70</v>
      </c>
      <c r="F70" s="280" t="str">
        <f>IF(INDEX('NZS O&amp;G and CA100'!$D$5:$D$193, MATCH('Company Scorecard - select'!$A70, 'NZS O&amp;G and CA100'!$B$5:$B$193, 0)) = "Disclosure", INDEX('NZS O&amp;G and CA100'!$E$5:$N$193, MATCH('Company Scorecard - select'!$A70, 'NZS O&amp;G and CA100'!$B$5:$B$193, 0),MATCH('Company Scorecard - select'!$C$5, 'NZS O&amp;G and CA100'!$E$3:$N$3, 0)),"")</f>
        <v>Not Applicable</v>
      </c>
      <c r="G70" s="279"/>
      <c r="H70" s="280" t="str">
        <f>IF(INDEX('NZS O&amp;G and CA100'!$D$5:$D$193, MATCH('Company Scorecard - select'!$A70, 'NZS O&amp;G and CA100'!$B$5:$B$193, 0)) = "Alignment", INDEX('NZS O&amp;G and CA100'!$E$5:$N$193, MATCH('Company Scorecard - select'!$A70, 'NZS O&amp;G and CA100'!$B$5:$B$193, 0),MATCH('Company Scorecard - select'!$C$5, 'NZS O&amp;G and CA100'!$E$3:$N$3, 0)),"")</f>
        <v/>
      </c>
      <c r="I70" s="279"/>
      <c r="J70" s="281" t="str">
        <f>IF(OR(INDEX('NZS O&amp;G and CA100'!$D$5:$D$193, MATCH('Company Scorecard - select'!$A70, 'NZS O&amp;G and CA100'!$B$5:$B$193, 0)) = "Climate Solutions", INDEX('NZS O&amp;G and CA100'!$D$5:$D$193, MATCH('Company Scorecard - select'!$A70, 'NZS O&amp;G and CA100'!$B$5:$B$193, 0)) = "Solutions (Al)"), INDEX('NZS O&amp;G and CA100'!$E$5:$N$193, MATCH('Company Scorecard - select'!$A70, 'NZS O&amp;G and CA100'!$B$5:$B$193, 0),MATCH('Company Scorecard - select'!$C$5, 'NZS O&amp;G and CA100'!$E$3:$N$3, 0)),"")</f>
        <v/>
      </c>
      <c r="K70" s="22" t="s">
        <v>76</v>
      </c>
      <c r="L70" s="294"/>
      <c r="M70" s="22" t="s">
        <v>76</v>
      </c>
      <c r="N70" s="22" t="s">
        <v>76</v>
      </c>
      <c r="DQ70" s="24"/>
      <c r="DR70" s="24"/>
      <c r="DS70" s="24"/>
    </row>
    <row r="71" spans="1:123" s="22" customFormat="1" ht="15" customHeight="1" outlineLevel="2">
      <c r="A71" s="298" t="str">
        <f t="shared" si="3"/>
        <v>5.ii.j</v>
      </c>
      <c r="B71" s="33"/>
      <c r="C71" s="97" t="s">
        <v>120</v>
      </c>
      <c r="D71" s="94" t="s">
        <v>70</v>
      </c>
      <c r="F71" s="280">
        <f>IF(INDEX('NZS O&amp;G and CA100'!$D$5:$D$193, MATCH('Company Scorecard - select'!$A71, 'NZS O&amp;G and CA100'!$B$5:$B$193, 0)) = "Disclosure", INDEX('NZS O&amp;G and CA100'!$E$5:$N$193, MATCH('Company Scorecard - select'!$A71, 'NZS O&amp;G and CA100'!$B$5:$B$193, 0),MATCH('Company Scorecard - select'!$C$5, 'NZS O&amp;G and CA100'!$E$3:$N$3, 0)),"")</f>
        <v>0</v>
      </c>
      <c r="G71" s="279"/>
      <c r="H71" s="280" t="str">
        <f>IF(INDEX('NZS O&amp;G and CA100'!$D$5:$D$193, MATCH('Company Scorecard - select'!$A71, 'NZS O&amp;G and CA100'!$B$5:$B$193, 0)) = "Alignment", INDEX('NZS O&amp;G and CA100'!$E$5:$N$193, MATCH('Company Scorecard - select'!$A71, 'NZS O&amp;G and CA100'!$B$5:$B$193, 0),MATCH('Company Scorecard - select'!$C$5, 'NZS O&amp;G and CA100'!$E$3:$N$3, 0)),"")</f>
        <v/>
      </c>
      <c r="I71" s="279"/>
      <c r="J71" s="281" t="str">
        <f>IF(OR(INDEX('NZS O&amp;G and CA100'!$D$5:$D$193, MATCH('Company Scorecard - select'!$A71, 'NZS O&amp;G and CA100'!$B$5:$B$193, 0)) = "Climate Solutions", INDEX('NZS O&amp;G and CA100'!$D$5:$D$193, MATCH('Company Scorecard - select'!$A71, 'NZS O&amp;G and CA100'!$B$5:$B$193, 0)) = "Solutions (Al)"), INDEX('NZS O&amp;G and CA100'!$E$5:$N$193, MATCH('Company Scorecard - select'!$A71, 'NZS O&amp;G and CA100'!$B$5:$B$193, 0),MATCH('Company Scorecard - select'!$C$5, 'NZS O&amp;G and CA100'!$E$3:$N$3, 0)),"")</f>
        <v/>
      </c>
      <c r="K71" s="22" t="s">
        <v>76</v>
      </c>
      <c r="L71" s="294"/>
      <c r="M71" s="22" t="s">
        <v>76</v>
      </c>
      <c r="N71" s="22" t="s">
        <v>76</v>
      </c>
      <c r="DQ71" s="24"/>
      <c r="DR71" s="24"/>
      <c r="DS71" s="24"/>
    </row>
    <row r="72" spans="1:123" s="22" customFormat="1" ht="15" customHeight="1" outlineLevel="2">
      <c r="A72" s="298" t="str">
        <f t="shared" si="3"/>
        <v>5.ii.k</v>
      </c>
      <c r="B72" s="33"/>
      <c r="C72" s="97" t="s">
        <v>121</v>
      </c>
      <c r="D72" s="94" t="s">
        <v>70</v>
      </c>
      <c r="F72" s="280" t="str">
        <f>IF(INDEX('NZS O&amp;G and CA100'!$D$5:$D$193, MATCH('Company Scorecard - select'!$A72, 'NZS O&amp;G and CA100'!$B$5:$B$193, 0)) = "Disclosure", INDEX('NZS O&amp;G and CA100'!$E$5:$N$193, MATCH('Company Scorecard - select'!$A72, 'NZS O&amp;G and CA100'!$B$5:$B$193, 0),MATCH('Company Scorecard - select'!$C$5, 'NZS O&amp;G and CA100'!$E$3:$N$3, 0)),"")</f>
        <v>Not Applicable</v>
      </c>
      <c r="G72" s="279"/>
      <c r="H72" s="280" t="str">
        <f>IF(INDEX('NZS O&amp;G and CA100'!$D$5:$D$193, MATCH('Company Scorecard - select'!$A72, 'NZS O&amp;G and CA100'!$B$5:$B$193, 0)) = "Alignment", INDEX('NZS O&amp;G and CA100'!$E$5:$N$193, MATCH('Company Scorecard - select'!$A72, 'NZS O&amp;G and CA100'!$B$5:$B$193, 0),MATCH('Company Scorecard - select'!$C$5, 'NZS O&amp;G and CA100'!$E$3:$N$3, 0)),"")</f>
        <v/>
      </c>
      <c r="I72" s="279"/>
      <c r="J72" s="281" t="str">
        <f>IF(OR(INDEX('NZS O&amp;G and CA100'!$D$5:$D$193, MATCH('Company Scorecard - select'!$A72, 'NZS O&amp;G and CA100'!$B$5:$B$193, 0)) = "Climate Solutions", INDEX('NZS O&amp;G and CA100'!$D$5:$D$193, MATCH('Company Scorecard - select'!$A72, 'NZS O&amp;G and CA100'!$B$5:$B$193, 0)) = "Solutions (Al)"), INDEX('NZS O&amp;G and CA100'!$E$5:$N$193, MATCH('Company Scorecard - select'!$A72, 'NZS O&amp;G and CA100'!$B$5:$B$193, 0),MATCH('Company Scorecard - select'!$C$5, 'NZS O&amp;G and CA100'!$E$3:$N$3, 0)),"")</f>
        <v/>
      </c>
      <c r="K72" s="22" t="s">
        <v>76</v>
      </c>
      <c r="L72" s="294"/>
      <c r="M72" s="22" t="s">
        <v>76</v>
      </c>
      <c r="N72" s="22" t="s">
        <v>76</v>
      </c>
      <c r="DQ72" s="24"/>
      <c r="DR72" s="24"/>
      <c r="DS72" s="24"/>
    </row>
    <row r="73" spans="1:123" s="22" customFormat="1" ht="15" customHeight="1" outlineLevel="2">
      <c r="A73" s="298" t="str">
        <f t="shared" si="3"/>
        <v>5.ii.l</v>
      </c>
      <c r="B73" s="33"/>
      <c r="C73" s="97" t="s">
        <v>122</v>
      </c>
      <c r="D73" s="94" t="s">
        <v>70</v>
      </c>
      <c r="F73" s="280">
        <f>IF(INDEX('NZS O&amp;G and CA100'!$D$5:$D$193, MATCH('Company Scorecard - select'!$A73, 'NZS O&amp;G and CA100'!$B$5:$B$193, 0)) = "Disclosure", INDEX('NZS O&amp;G and CA100'!$E$5:$N$193, MATCH('Company Scorecard - select'!$A73, 'NZS O&amp;G and CA100'!$B$5:$B$193, 0),MATCH('Company Scorecard - select'!$C$5, 'NZS O&amp;G and CA100'!$E$3:$N$3, 0)),"")</f>
        <v>0</v>
      </c>
      <c r="G73" s="279"/>
      <c r="H73" s="280" t="str">
        <f>IF(INDEX('NZS O&amp;G and CA100'!$D$5:$D$193, MATCH('Company Scorecard - select'!$A73, 'NZS O&amp;G and CA100'!$B$5:$B$193, 0)) = "Alignment", INDEX('NZS O&amp;G and CA100'!$E$5:$N$193, MATCH('Company Scorecard - select'!$A73, 'NZS O&amp;G and CA100'!$B$5:$B$193, 0),MATCH('Company Scorecard - select'!$C$5, 'NZS O&amp;G and CA100'!$E$3:$N$3, 0)),"")</f>
        <v/>
      </c>
      <c r="I73" s="279"/>
      <c r="J73" s="281" t="str">
        <f>IF(OR(INDEX('NZS O&amp;G and CA100'!$D$5:$D$193, MATCH('Company Scorecard - select'!$A73, 'NZS O&amp;G and CA100'!$B$5:$B$193, 0)) = "Climate Solutions", INDEX('NZS O&amp;G and CA100'!$D$5:$D$193, MATCH('Company Scorecard - select'!$A73, 'NZS O&amp;G and CA100'!$B$5:$B$193, 0)) = "Solutions (Al)"), INDEX('NZS O&amp;G and CA100'!$E$5:$N$193, MATCH('Company Scorecard - select'!$A73, 'NZS O&amp;G and CA100'!$B$5:$B$193, 0),MATCH('Company Scorecard - select'!$C$5, 'NZS O&amp;G and CA100'!$E$3:$N$3, 0)),"")</f>
        <v/>
      </c>
      <c r="K73" s="22" t="s">
        <v>76</v>
      </c>
      <c r="L73" s="294"/>
      <c r="M73" s="22" t="s">
        <v>76</v>
      </c>
      <c r="N73" s="22" t="s">
        <v>76</v>
      </c>
      <c r="DQ73" s="24"/>
      <c r="DR73" s="24"/>
      <c r="DS73" s="24"/>
    </row>
    <row r="74" spans="1:123" s="22" customFormat="1" ht="15" customHeight="1" outlineLevel="2">
      <c r="A74" s="298" t="str">
        <f t="shared" si="3"/>
        <v>5.ii.m</v>
      </c>
      <c r="B74" s="33"/>
      <c r="C74" s="97" t="s">
        <v>123</v>
      </c>
      <c r="D74" s="94" t="s">
        <v>70</v>
      </c>
      <c r="F74" s="280">
        <f>IF(INDEX('NZS O&amp;G and CA100'!$D$5:$D$193, MATCH('Company Scorecard - select'!$A74, 'NZS O&amp;G and CA100'!$B$5:$B$193, 0)) = "Disclosure", INDEX('NZS O&amp;G and CA100'!$E$5:$N$193, MATCH('Company Scorecard - select'!$A74, 'NZS O&amp;G and CA100'!$B$5:$B$193, 0),MATCH('Company Scorecard - select'!$C$5, 'NZS O&amp;G and CA100'!$E$3:$N$3, 0)),"")</f>
        <v>0</v>
      </c>
      <c r="G74" s="279"/>
      <c r="H74" s="280" t="str">
        <f>IF(INDEX('NZS O&amp;G and CA100'!$D$5:$D$193, MATCH('Company Scorecard - select'!$A74, 'NZS O&amp;G and CA100'!$B$5:$B$193, 0)) = "Alignment", INDEX('NZS O&amp;G and CA100'!$E$5:$N$193, MATCH('Company Scorecard - select'!$A74, 'NZS O&amp;G and CA100'!$B$5:$B$193, 0),MATCH('Company Scorecard - select'!$C$5, 'NZS O&amp;G and CA100'!$E$3:$N$3, 0)),"")</f>
        <v/>
      </c>
      <c r="I74" s="279"/>
      <c r="J74" s="281" t="str">
        <f>IF(OR(INDEX('NZS O&amp;G and CA100'!$D$5:$D$193, MATCH('Company Scorecard - select'!$A74, 'NZS O&amp;G and CA100'!$B$5:$B$193, 0)) = "Climate Solutions", INDEX('NZS O&amp;G and CA100'!$D$5:$D$193, MATCH('Company Scorecard - select'!$A74, 'NZS O&amp;G and CA100'!$B$5:$B$193, 0)) = "Solutions (Al)"), INDEX('NZS O&amp;G and CA100'!$E$5:$N$193, MATCH('Company Scorecard - select'!$A74, 'NZS O&amp;G and CA100'!$B$5:$B$193, 0),MATCH('Company Scorecard - select'!$C$5, 'NZS O&amp;G and CA100'!$E$3:$N$3, 0)),"")</f>
        <v/>
      </c>
      <c r="K74" s="22" t="s">
        <v>76</v>
      </c>
      <c r="L74" s="294"/>
      <c r="M74" s="22" t="s">
        <v>76</v>
      </c>
      <c r="N74" s="22" t="s">
        <v>76</v>
      </c>
      <c r="DQ74" s="24"/>
      <c r="DR74" s="24"/>
      <c r="DS74" s="24"/>
    </row>
    <row r="75" spans="1:123" s="22" customFormat="1" ht="15" customHeight="1" outlineLevel="1">
      <c r="A75" s="297">
        <v>5.2</v>
      </c>
      <c r="B75" s="33"/>
      <c r="C75" s="96" t="s">
        <v>124</v>
      </c>
      <c r="D75" s="94" t="s">
        <v>69</v>
      </c>
      <c r="F75" s="280"/>
      <c r="G75" s="279"/>
      <c r="H75" s="281" t="str">
        <f>IFERROR(SUM(H76:H77)/COUNT(H76:H77),"")</f>
        <v/>
      </c>
      <c r="I75" s="281"/>
      <c r="J75" s="280">
        <f>SUM(J76:J84)/COUNT(J76:J84)</f>
        <v>0</v>
      </c>
      <c r="K75" s="22" t="s">
        <v>76</v>
      </c>
      <c r="L75" s="294"/>
      <c r="M75" s="22" t="s">
        <v>76</v>
      </c>
      <c r="N75" s="22" t="s">
        <v>76</v>
      </c>
      <c r="DQ75" s="24"/>
      <c r="DR75" s="24"/>
      <c r="DS75" s="24"/>
    </row>
    <row r="76" spans="1:123" s="22" customFormat="1" ht="15" customHeight="1" outlineLevel="2">
      <c r="A76" s="298" t="str">
        <f>LEFT(C76,FIND(":",C76)-1)</f>
        <v>5.2.a</v>
      </c>
      <c r="B76" s="33"/>
      <c r="C76" s="99" t="s">
        <v>125</v>
      </c>
      <c r="D76" s="94" t="s">
        <v>69</v>
      </c>
      <c r="F76" s="280" t="str">
        <f>IF(INDEX('NZS O&amp;G and CA100'!$D$5:$D$193, MATCH('Company Scorecard - select'!$A76, 'NZS O&amp;G and CA100'!$B$5:$B$193, 0)) = "Disclosure", INDEX('NZS O&amp;G and CA100'!$E$5:$N$193, MATCH('Company Scorecard - select'!$A76, 'NZS O&amp;G and CA100'!$B$5:$B$193, 0),MATCH('Company Scorecard - select'!$C$5, 'NZS O&amp;G and CA100'!$E$3:$N$3, 0)),"")</f>
        <v/>
      </c>
      <c r="G76" s="279"/>
      <c r="H76" s="281" t="str">
        <f>IF(OR(INDEX('NZS O&amp;G and CA100'!$D$5:$D$193, MATCH('Company Scorecard - select'!$A76, 'NZS O&amp;G and CA100'!$B$5:$B$193, 0)) = "Alignment", INDEX('NZS O&amp;G and CA100'!$D$5:$D$193, MATCH('Company Scorecard - select'!$A76, 'NZS O&amp;G and CA100'!$B$5:$B$193, 0)) = "Solutions (Al)"), INDEX('NZS O&amp;G and CA100'!$E$5:$N$193, MATCH('Company Scorecard - select'!$A76, 'NZS O&amp;G and CA100'!$B$5:$B$193, 0),MATCH('Company Scorecard - select'!$C$5, 'NZS O&amp;G and CA100'!$E$3:$N$3, 0)),"")</f>
        <v/>
      </c>
      <c r="I76" s="279"/>
      <c r="J76" s="280">
        <f>IF(OR(INDEX('NZS O&amp;G and CA100'!$D$5:$D$193, MATCH('Company Scorecard - select'!$A76, 'NZS O&amp;G and CA100'!$B$5:$B$193, 0)) = "Climate Solutions", INDEX('NZS O&amp;G and CA100'!$D$5:$D$193, MATCH('Company Scorecard - select'!$A76, 'NZS O&amp;G and CA100'!$B$5:$B$193, 0)) = "Solutions (Al)"), INDEX('NZS O&amp;G and CA100'!$E$5:$N$193, MATCH('Company Scorecard - select'!$A76, 'NZS O&amp;G and CA100'!$B$5:$B$193, 0),MATCH('Company Scorecard - select'!$C$5, 'NZS O&amp;G and CA100'!$E$3:$N$3, 0)),"")</f>
        <v>0</v>
      </c>
      <c r="K76" s="22" t="s">
        <v>76</v>
      </c>
      <c r="L76" s="294"/>
      <c r="M76" s="22" t="s">
        <v>76</v>
      </c>
      <c r="N76" s="22" t="s">
        <v>76</v>
      </c>
      <c r="DQ76" s="24"/>
      <c r="DR76" s="24"/>
      <c r="DS76" s="24"/>
    </row>
    <row r="77" spans="1:123" s="22" customFormat="1" ht="15" customHeight="1" outlineLevel="2">
      <c r="A77" s="298" t="str">
        <f>LEFT(C77,FIND(":",C77)-1)</f>
        <v>5.2.b</v>
      </c>
      <c r="B77" s="33"/>
      <c r="C77" s="99" t="s">
        <v>126</v>
      </c>
      <c r="D77" s="94" t="s">
        <v>69</v>
      </c>
      <c r="F77" s="280" t="str">
        <f>IF(INDEX('NZS O&amp;G and CA100'!$D$5:$D$193, MATCH('Company Scorecard - select'!$A77, 'NZS O&amp;G and CA100'!$B$5:$B$193, 0)) = "Disclosure", INDEX('NZS O&amp;G and CA100'!$E$5:$N$193, MATCH('Company Scorecard - select'!$A77, 'NZS O&amp;G and CA100'!$B$5:$B$193, 0),MATCH('Company Scorecard - select'!$C$5, 'NZS O&amp;G and CA100'!$E$3:$N$3, 0)),"")</f>
        <v/>
      </c>
      <c r="G77" s="279"/>
      <c r="H77" s="281" t="str">
        <f>IF(OR(INDEX('NZS O&amp;G and CA100'!$D$5:$D$193, MATCH('Company Scorecard - select'!$A77, 'NZS O&amp;G and CA100'!$B$5:$B$193, 0)) = "Alignment", INDEX('NZS O&amp;G and CA100'!$D$5:$D$193, MATCH('Company Scorecard - select'!$A77, 'NZS O&amp;G and CA100'!$B$5:$B$193, 0)) = "Solutions (Al)"), INDEX('NZS O&amp;G and CA100'!$E$5:$N$193, MATCH('Company Scorecard - select'!$A77, 'NZS O&amp;G and CA100'!$B$5:$B$193, 0),MATCH('Company Scorecard - select'!$C$5, 'NZS O&amp;G and CA100'!$E$3:$N$3, 0)),"")</f>
        <v/>
      </c>
      <c r="I77" s="279"/>
      <c r="J77" s="280">
        <f>IF(OR(INDEX('NZS O&amp;G and CA100'!$D$5:$D$193, MATCH('Company Scorecard - select'!$A77, 'NZS O&amp;G and CA100'!$B$5:$B$193, 0)) = "Climate Solutions", INDEX('NZS O&amp;G and CA100'!$D$5:$D$193, MATCH('Company Scorecard - select'!$A77, 'NZS O&amp;G and CA100'!$B$5:$B$193, 0)) = "Solutions (Al)"), INDEX('NZS O&amp;G and CA100'!$E$5:$N$193, MATCH('Company Scorecard - select'!$A77, 'NZS O&amp;G and CA100'!$B$5:$B$193, 0),MATCH('Company Scorecard - select'!$C$5, 'NZS O&amp;G and CA100'!$E$3:$N$3, 0)),"")</f>
        <v>0</v>
      </c>
      <c r="K77" s="22" t="s">
        <v>76</v>
      </c>
      <c r="L77" s="294"/>
      <c r="M77" s="22" t="s">
        <v>76</v>
      </c>
      <c r="N77" s="22" t="s">
        <v>76</v>
      </c>
      <c r="DQ77" s="24"/>
      <c r="DR77" s="24"/>
      <c r="DS77" s="24"/>
    </row>
    <row r="78" spans="1:123" s="22" customFormat="1" ht="15" customHeight="1" outlineLevel="2">
      <c r="A78" s="298" t="str">
        <f t="shared" ref="A78:A84" si="4">LEFT(C78,FIND(":",C78)-1)</f>
        <v>5.iii.a</v>
      </c>
      <c r="B78" s="33"/>
      <c r="C78" s="97" t="s">
        <v>127</v>
      </c>
      <c r="D78" s="92" t="s">
        <v>70</v>
      </c>
      <c r="F78" s="280" t="str">
        <f>IF(INDEX('NZS O&amp;G and CA100'!$D$5:$D$193, MATCH('Company Scorecard - select'!$A78, 'NZS O&amp;G and CA100'!$B$5:$B$193, 0)) = "Disclosure", INDEX('NZS O&amp;G and CA100'!$E$5:$N$193, MATCH('Company Scorecard - select'!$A78, 'NZS O&amp;G and CA100'!$B$5:$B$193, 0),MATCH('Company Scorecard - select'!$C$5, 'NZS O&amp;G and CA100'!$E$3:$N$3, 0)),"")</f>
        <v/>
      </c>
      <c r="G78" s="279"/>
      <c r="H78" s="280" t="str">
        <f>IF(INDEX('NZS O&amp;G and CA100'!$D$5:$D$193, MATCH('Company Scorecard - select'!$A78, 'NZS O&amp;G and CA100'!$B$5:$B$193, 0)) = "Alignment", INDEX('NZS O&amp;G and CA100'!$E$5:$N$193, MATCH('Company Scorecard - select'!$A78, 'NZS O&amp;G and CA100'!$B$5:$B$193, 0),MATCH('Company Scorecard - select'!$C$5, 'NZS O&amp;G and CA100'!$E$3:$N$3, 0)),"")</f>
        <v/>
      </c>
      <c r="I78" s="279"/>
      <c r="J78" s="280">
        <f>IF(OR(INDEX('NZS O&amp;G and CA100'!$D$5:$D$193, MATCH('Company Scorecard - select'!$A78, 'NZS O&amp;G and CA100'!$B$5:$B$193, 0)) = "Climate Solutions", INDEX('NZS O&amp;G and CA100'!$D$5:$D$193, MATCH('Company Scorecard - select'!$A78, 'NZS O&amp;G and CA100'!$B$5:$B$193, 0)) = "Solutions (Al)"), INDEX('NZS O&amp;G and CA100'!$E$5:$N$193, MATCH('Company Scorecard - select'!$A78, 'NZS O&amp;G and CA100'!$B$5:$B$193, 0),MATCH('Company Scorecard - select'!$C$5, 'NZS O&amp;G and CA100'!$E$3:$N$3, 0)),"")</f>
        <v>0</v>
      </c>
      <c r="K78" s="22" t="s">
        <v>76</v>
      </c>
      <c r="L78" s="294"/>
      <c r="M78" s="22" t="s">
        <v>76</v>
      </c>
      <c r="N78" s="22" t="s">
        <v>76</v>
      </c>
      <c r="DQ78" s="24"/>
      <c r="DR78" s="24"/>
      <c r="DS78" s="24"/>
    </row>
    <row r="79" spans="1:123" s="22" customFormat="1" ht="15" customHeight="1" outlineLevel="2">
      <c r="A79" s="298" t="str">
        <f t="shared" si="4"/>
        <v>5.iii.b</v>
      </c>
      <c r="B79" s="33"/>
      <c r="C79" s="97" t="s">
        <v>128</v>
      </c>
      <c r="D79" s="92" t="s">
        <v>70</v>
      </c>
      <c r="F79" s="280" t="str">
        <f>IF(INDEX('NZS O&amp;G and CA100'!$D$5:$D$193, MATCH('Company Scorecard - select'!$A79, 'NZS O&amp;G and CA100'!$B$5:$B$193, 0)) = "Disclosure", INDEX('NZS O&amp;G and CA100'!$E$5:$N$193, MATCH('Company Scorecard - select'!$A79, 'NZS O&amp;G and CA100'!$B$5:$B$193, 0),MATCH('Company Scorecard - select'!$C$5, 'NZS O&amp;G and CA100'!$E$3:$N$3, 0)),"")</f>
        <v/>
      </c>
      <c r="G79" s="279"/>
      <c r="H79" s="280" t="str">
        <f>IF(INDEX('NZS O&amp;G and CA100'!$D$5:$D$193, MATCH('Company Scorecard - select'!$A79, 'NZS O&amp;G and CA100'!$B$5:$B$193, 0)) = "Alignment", INDEX('NZS O&amp;G and CA100'!$E$5:$N$193, MATCH('Company Scorecard - select'!$A79, 'NZS O&amp;G and CA100'!$B$5:$B$193, 0),MATCH('Company Scorecard - select'!$C$5, 'NZS O&amp;G and CA100'!$E$3:$N$3, 0)),"")</f>
        <v/>
      </c>
      <c r="I79" s="279"/>
      <c r="J79" s="280">
        <f>IF(OR(INDEX('NZS O&amp;G and CA100'!$D$5:$D$193, MATCH('Company Scorecard - select'!$A79, 'NZS O&amp;G and CA100'!$B$5:$B$193, 0)) = "Climate Solutions", INDEX('NZS O&amp;G and CA100'!$D$5:$D$193, MATCH('Company Scorecard - select'!$A79, 'NZS O&amp;G and CA100'!$B$5:$B$193, 0)) = "Solutions (Al)"), INDEX('NZS O&amp;G and CA100'!$E$5:$N$193, MATCH('Company Scorecard - select'!$A79, 'NZS O&amp;G and CA100'!$B$5:$B$193, 0),MATCH('Company Scorecard - select'!$C$5, 'NZS O&amp;G and CA100'!$E$3:$N$3, 0)),"")</f>
        <v>0</v>
      </c>
      <c r="K79" s="22" t="s">
        <v>76</v>
      </c>
      <c r="L79" s="294"/>
      <c r="M79" s="22" t="s">
        <v>76</v>
      </c>
      <c r="N79" s="22" t="s">
        <v>76</v>
      </c>
      <c r="DQ79" s="24"/>
      <c r="DR79" s="24"/>
      <c r="DS79" s="24"/>
    </row>
    <row r="80" spans="1:123" s="22" customFormat="1" ht="15" customHeight="1" outlineLevel="2">
      <c r="A80" s="298" t="str">
        <f t="shared" si="4"/>
        <v>5.iii.c</v>
      </c>
      <c r="B80" s="33"/>
      <c r="C80" s="97" t="s">
        <v>129</v>
      </c>
      <c r="D80" s="92" t="s">
        <v>70</v>
      </c>
      <c r="F80" s="280" t="str">
        <f>IF(INDEX('NZS O&amp;G and CA100'!$D$5:$D$193, MATCH('Company Scorecard - select'!$A80, 'NZS O&amp;G and CA100'!$B$5:$B$193, 0)) = "Disclosure", INDEX('NZS O&amp;G and CA100'!$E$5:$N$193, MATCH('Company Scorecard - select'!$A80, 'NZS O&amp;G and CA100'!$B$5:$B$193, 0),MATCH('Company Scorecard - select'!$C$5, 'NZS O&amp;G and CA100'!$E$3:$N$3, 0)),"")</f>
        <v/>
      </c>
      <c r="G80" s="279"/>
      <c r="H80" s="280" t="str">
        <f>IF(INDEX('NZS O&amp;G and CA100'!$D$5:$D$193, MATCH('Company Scorecard - select'!$A80, 'NZS O&amp;G and CA100'!$B$5:$B$193, 0)) = "Alignment", INDEX('NZS O&amp;G and CA100'!$E$5:$N$193, MATCH('Company Scorecard - select'!$A80, 'NZS O&amp;G and CA100'!$B$5:$B$193, 0),MATCH('Company Scorecard - select'!$C$5, 'NZS O&amp;G and CA100'!$E$3:$N$3, 0)),"")</f>
        <v/>
      </c>
      <c r="I80" s="279"/>
      <c r="J80" s="280">
        <f>IF(OR(INDEX('NZS O&amp;G and CA100'!$D$5:$D$193, MATCH('Company Scorecard - select'!$A80, 'NZS O&amp;G and CA100'!$B$5:$B$193, 0)) = "Climate Solutions", INDEX('NZS O&amp;G and CA100'!$D$5:$D$193, MATCH('Company Scorecard - select'!$A80, 'NZS O&amp;G and CA100'!$B$5:$B$193, 0)) = "Solutions (Al)"), INDEX('NZS O&amp;G and CA100'!$E$5:$N$193, MATCH('Company Scorecard - select'!$A80, 'NZS O&amp;G and CA100'!$B$5:$B$193, 0),MATCH('Company Scorecard - select'!$C$5, 'NZS O&amp;G and CA100'!$E$3:$N$3, 0)),"")</f>
        <v>0</v>
      </c>
      <c r="K80" s="22" t="s">
        <v>76</v>
      </c>
      <c r="L80" s="294"/>
      <c r="M80" s="22" t="s">
        <v>76</v>
      </c>
      <c r="N80" s="22" t="s">
        <v>76</v>
      </c>
      <c r="DQ80" s="24"/>
      <c r="DR80" s="24"/>
      <c r="DS80" s="24"/>
    </row>
    <row r="81" spans="1:123" s="22" customFormat="1" ht="15" customHeight="1" outlineLevel="2">
      <c r="A81" s="298" t="str">
        <f t="shared" si="4"/>
        <v>5.iii.d</v>
      </c>
      <c r="B81" s="33"/>
      <c r="C81" s="97" t="s">
        <v>130</v>
      </c>
      <c r="D81" s="92" t="s">
        <v>70</v>
      </c>
      <c r="F81" s="280" t="str">
        <f>IF(INDEX('NZS O&amp;G and CA100'!$D$5:$D$193, MATCH('Company Scorecard - select'!$A81, 'NZS O&amp;G and CA100'!$B$5:$B$193, 0)) = "Disclosure", INDEX('NZS O&amp;G and CA100'!$E$5:$N$193, MATCH('Company Scorecard - select'!$A81, 'NZS O&amp;G and CA100'!$B$5:$B$193, 0),MATCH('Company Scorecard - select'!$C$5, 'NZS O&amp;G and CA100'!$E$3:$N$3, 0)),"")</f>
        <v/>
      </c>
      <c r="G81" s="279"/>
      <c r="H81" s="280" t="str">
        <f>IF(INDEX('NZS O&amp;G and CA100'!$D$5:$D$193, MATCH('Company Scorecard - select'!$A81, 'NZS O&amp;G and CA100'!$B$5:$B$193, 0)) = "Alignment", INDEX('NZS O&amp;G and CA100'!$E$5:$N$193, MATCH('Company Scorecard - select'!$A81, 'NZS O&amp;G and CA100'!$B$5:$B$193, 0),MATCH('Company Scorecard - select'!$C$5, 'NZS O&amp;G and CA100'!$E$3:$N$3, 0)),"")</f>
        <v/>
      </c>
      <c r="I81" s="279"/>
      <c r="J81" s="280">
        <f>IF(OR(INDEX('NZS O&amp;G and CA100'!$D$5:$D$193, MATCH('Company Scorecard - select'!$A81, 'NZS O&amp;G and CA100'!$B$5:$B$193, 0)) = "Climate Solutions", INDEX('NZS O&amp;G and CA100'!$D$5:$D$193, MATCH('Company Scorecard - select'!$A81, 'NZS O&amp;G and CA100'!$B$5:$B$193, 0)) = "Solutions (Al)"), INDEX('NZS O&amp;G and CA100'!$E$5:$N$193, MATCH('Company Scorecard - select'!$A81, 'NZS O&amp;G and CA100'!$B$5:$B$193, 0),MATCH('Company Scorecard - select'!$C$5, 'NZS O&amp;G and CA100'!$E$3:$N$3, 0)),"")</f>
        <v>0</v>
      </c>
      <c r="K81" s="22" t="s">
        <v>76</v>
      </c>
      <c r="L81" s="294"/>
      <c r="M81" s="22" t="s">
        <v>76</v>
      </c>
      <c r="N81" s="22" t="s">
        <v>76</v>
      </c>
      <c r="DQ81" s="24"/>
      <c r="DR81" s="24"/>
      <c r="DS81" s="24"/>
    </row>
    <row r="82" spans="1:123" s="22" customFormat="1" ht="15" customHeight="1" outlineLevel="2">
      <c r="A82" s="298" t="str">
        <f t="shared" si="4"/>
        <v>5.iii.e</v>
      </c>
      <c r="B82" s="33"/>
      <c r="C82" s="97" t="s">
        <v>131</v>
      </c>
      <c r="D82" s="92" t="s">
        <v>70</v>
      </c>
      <c r="F82" s="280" t="str">
        <f>IF(INDEX('NZS O&amp;G and CA100'!$D$5:$D$193, MATCH('Company Scorecard - select'!$A82, 'NZS O&amp;G and CA100'!$B$5:$B$193, 0)) = "Disclosure", INDEX('NZS O&amp;G and CA100'!$E$5:$N$193, MATCH('Company Scorecard - select'!$A82, 'NZS O&amp;G and CA100'!$B$5:$B$193, 0),MATCH('Company Scorecard - select'!$C$5, 'NZS O&amp;G and CA100'!$E$3:$N$3, 0)),"")</f>
        <v/>
      </c>
      <c r="G82" s="279"/>
      <c r="H82" s="280" t="str">
        <f>IF(INDEX('NZS O&amp;G and CA100'!$D$5:$D$193, MATCH('Company Scorecard - select'!$A82, 'NZS O&amp;G and CA100'!$B$5:$B$193, 0)) = "Alignment", INDEX('NZS O&amp;G and CA100'!$E$5:$N$193, MATCH('Company Scorecard - select'!$A82, 'NZS O&amp;G and CA100'!$B$5:$B$193, 0),MATCH('Company Scorecard - select'!$C$5, 'NZS O&amp;G and CA100'!$E$3:$N$3, 0)),"")</f>
        <v/>
      </c>
      <c r="I82" s="279"/>
      <c r="J82" s="280">
        <f>IF(OR(INDEX('NZS O&amp;G and CA100'!$D$5:$D$193, MATCH('Company Scorecard - select'!$A82, 'NZS O&amp;G and CA100'!$B$5:$B$193, 0)) = "Climate Solutions", INDEX('NZS O&amp;G and CA100'!$D$5:$D$193, MATCH('Company Scorecard - select'!$A82, 'NZS O&amp;G and CA100'!$B$5:$B$193, 0)) = "Solutions (Al)"), INDEX('NZS O&amp;G and CA100'!$E$5:$N$193, MATCH('Company Scorecard - select'!$A82, 'NZS O&amp;G and CA100'!$B$5:$B$193, 0),MATCH('Company Scorecard - select'!$C$5, 'NZS O&amp;G and CA100'!$E$3:$N$3, 0)),"")</f>
        <v>0</v>
      </c>
      <c r="K82" s="22" t="s">
        <v>76</v>
      </c>
      <c r="L82" s="294"/>
      <c r="M82" s="22" t="s">
        <v>76</v>
      </c>
      <c r="N82" s="22" t="s">
        <v>76</v>
      </c>
      <c r="DQ82" s="24"/>
      <c r="DR82" s="24"/>
      <c r="DS82" s="24"/>
    </row>
    <row r="83" spans="1:123" s="22" customFormat="1" ht="15" customHeight="1" outlineLevel="2">
      <c r="A83" s="298" t="str">
        <f t="shared" si="4"/>
        <v>5.iii.f</v>
      </c>
      <c r="B83" s="33"/>
      <c r="C83" s="97" t="s">
        <v>132</v>
      </c>
      <c r="D83" s="92" t="s">
        <v>70</v>
      </c>
      <c r="F83" s="280" t="str">
        <f>IF(INDEX('NZS O&amp;G and CA100'!$D$5:$D$193, MATCH('Company Scorecard - select'!$A83, 'NZS O&amp;G and CA100'!$B$5:$B$193, 0)) = "Disclosure", INDEX('NZS O&amp;G and CA100'!$E$5:$N$193, MATCH('Company Scorecard - select'!$A83, 'NZS O&amp;G and CA100'!$B$5:$B$193, 0),MATCH('Company Scorecard - select'!$C$5, 'NZS O&amp;G and CA100'!$E$3:$N$3, 0)),"")</f>
        <v/>
      </c>
      <c r="G83" s="279"/>
      <c r="H83" s="280" t="str">
        <f>IF(INDEX('NZS O&amp;G and CA100'!$D$5:$D$193, MATCH('Company Scorecard - select'!$A83, 'NZS O&amp;G and CA100'!$B$5:$B$193, 0)) = "Alignment", INDEX('NZS O&amp;G and CA100'!$E$5:$N$193, MATCH('Company Scorecard - select'!$A83, 'NZS O&amp;G and CA100'!$B$5:$B$193, 0),MATCH('Company Scorecard - select'!$C$5, 'NZS O&amp;G and CA100'!$E$3:$N$3, 0)),"")</f>
        <v/>
      </c>
      <c r="I83" s="279"/>
      <c r="J83" s="280">
        <f>IF(OR(INDEX('NZS O&amp;G and CA100'!$D$5:$D$193, MATCH('Company Scorecard - select'!$A83, 'NZS O&amp;G and CA100'!$B$5:$B$193, 0)) = "Climate Solutions", INDEX('NZS O&amp;G and CA100'!$D$5:$D$193, MATCH('Company Scorecard - select'!$A83, 'NZS O&amp;G and CA100'!$B$5:$B$193, 0)) = "Solutions (Al)"), INDEX('NZS O&amp;G and CA100'!$E$5:$N$193, MATCH('Company Scorecard - select'!$A83, 'NZS O&amp;G and CA100'!$B$5:$B$193, 0),MATCH('Company Scorecard - select'!$C$5, 'NZS O&amp;G and CA100'!$E$3:$N$3, 0)),"")</f>
        <v>0</v>
      </c>
      <c r="K83" s="22" t="s">
        <v>76</v>
      </c>
      <c r="L83" s="294"/>
      <c r="M83" s="22" t="s">
        <v>76</v>
      </c>
      <c r="N83" s="22" t="s">
        <v>76</v>
      </c>
      <c r="DQ83" s="24"/>
      <c r="DR83" s="24"/>
      <c r="DS83" s="24"/>
    </row>
    <row r="84" spans="1:123" s="22" customFormat="1" ht="15" customHeight="1" outlineLevel="2">
      <c r="A84" s="298" t="str">
        <f t="shared" si="4"/>
        <v>5.iii.g</v>
      </c>
      <c r="B84" s="33"/>
      <c r="C84" s="97" t="s">
        <v>133</v>
      </c>
      <c r="D84" s="92" t="s">
        <v>70</v>
      </c>
      <c r="F84" s="280" t="str">
        <f>IF(INDEX('NZS O&amp;G and CA100'!$D$5:$D$193, MATCH('Company Scorecard - select'!$A84, 'NZS O&amp;G and CA100'!$B$5:$B$193, 0)) = "Disclosure", INDEX('NZS O&amp;G and CA100'!$E$5:$N$193, MATCH('Company Scorecard - select'!$A84, 'NZS O&amp;G and CA100'!$B$5:$B$193, 0),MATCH('Company Scorecard - select'!$C$5, 'NZS O&amp;G and CA100'!$E$3:$N$3, 0)),"")</f>
        <v/>
      </c>
      <c r="G84" s="279"/>
      <c r="H84" s="280" t="str">
        <f>IF(INDEX('NZS O&amp;G and CA100'!$D$5:$D$193, MATCH('Company Scorecard - select'!$A84, 'NZS O&amp;G and CA100'!$B$5:$B$193, 0)) = "Alignment", INDEX('NZS O&amp;G and CA100'!$E$5:$N$193, MATCH('Company Scorecard - select'!$A84, 'NZS O&amp;G and CA100'!$B$5:$B$193, 0),MATCH('Company Scorecard - select'!$C$5, 'NZS O&amp;G and CA100'!$E$3:$N$3, 0)),"")</f>
        <v/>
      </c>
      <c r="I84" s="279"/>
      <c r="J84" s="280">
        <f>IF(OR(INDEX('NZS O&amp;G and CA100'!$D$5:$D$193, MATCH('Company Scorecard - select'!$A84, 'NZS O&amp;G and CA100'!$B$5:$B$193, 0)) = "Climate Solutions", INDEX('NZS O&amp;G and CA100'!$D$5:$D$193, MATCH('Company Scorecard - select'!$A84, 'NZS O&amp;G and CA100'!$B$5:$B$193, 0)) = "Solutions (Al)"), INDEX('NZS O&amp;G and CA100'!$E$5:$N$193, MATCH('Company Scorecard - select'!$A84, 'NZS O&amp;G and CA100'!$B$5:$B$193, 0),MATCH('Company Scorecard - select'!$C$5, 'NZS O&amp;G and CA100'!$E$3:$N$3, 0)),"")</f>
        <v>0</v>
      </c>
      <c r="K84" s="22" t="s">
        <v>76</v>
      </c>
      <c r="L84" s="294"/>
      <c r="M84" s="22" t="s">
        <v>76</v>
      </c>
      <c r="N84" s="22" t="s">
        <v>76</v>
      </c>
      <c r="DQ84" s="24"/>
      <c r="DR84" s="24"/>
      <c r="DS84" s="24"/>
    </row>
    <row r="85" spans="1:123" s="22" customFormat="1" ht="15" customHeight="1" outlineLevel="1">
      <c r="A85" s="297" t="s">
        <v>134</v>
      </c>
      <c r="B85" s="33"/>
      <c r="C85" s="102" t="s">
        <v>135</v>
      </c>
      <c r="D85" s="92" t="s">
        <v>70</v>
      </c>
      <c r="E85" s="26"/>
      <c r="F85" s="280">
        <f>SUM(F86:F91)/COUNT(F86:F91)</f>
        <v>0.5</v>
      </c>
      <c r="G85" s="279"/>
      <c r="H85" s="281" t="str">
        <f>H92</f>
        <v>Under development</v>
      </c>
      <c r="I85" s="279"/>
      <c r="J85" s="281" t="str">
        <f>IF(OR(INDEX('NZS O&amp;G and CA100'!$D$5:$D$193, MATCH('Company Scorecard - select'!$A85, 'NZS O&amp;G and CA100'!$B$5:$B$193, 0)) = "Climate Solutions", INDEX('NZS O&amp;G and CA100'!$D$5:$D$193, MATCH('Company Scorecard - select'!$A85, 'NZS O&amp;G and CA100'!$B$5:$B$193, 0)) = "Solutions (Al)"), INDEX('NZS O&amp;G and CA100'!$E$5:$N$193, MATCH('Company Scorecard - select'!$A85, 'NZS O&amp;G and CA100'!$B$5:$B$193, 0),MATCH('Company Scorecard - select'!$C$5, 'NZS O&amp;G and CA100'!$E$3:$N$3, 0)),"")</f>
        <v/>
      </c>
      <c r="K85" s="22" t="s">
        <v>76</v>
      </c>
      <c r="L85" s="294"/>
      <c r="M85" s="22" t="s">
        <v>76</v>
      </c>
      <c r="N85" s="22" t="s">
        <v>76</v>
      </c>
      <c r="DQ85" s="24"/>
      <c r="DR85" s="24"/>
      <c r="DS85" s="24"/>
    </row>
    <row r="86" spans="1:123" s="22" customFormat="1" ht="15" customHeight="1" outlineLevel="2">
      <c r="A86" s="298" t="str">
        <f>LEFT(C86,FIND(":",C86)-1)</f>
        <v>5.iv.a</v>
      </c>
      <c r="B86" s="33"/>
      <c r="C86" s="97" t="s">
        <v>136</v>
      </c>
      <c r="D86" s="92" t="s">
        <v>70</v>
      </c>
      <c r="F86" s="280">
        <f>IF(INDEX('NZS O&amp;G and CA100'!$D$5:$D$193, MATCH('Company Scorecard - select'!$A86, 'NZS O&amp;G and CA100'!$B$5:$B$193, 0)) = "Disclosure", INDEX('NZS O&amp;G and CA100'!$E$5:$N$193, MATCH('Company Scorecard - select'!$A86, 'NZS O&amp;G and CA100'!$B$5:$B$193, 0),MATCH('Company Scorecard - select'!$C$5, 'NZS O&amp;G and CA100'!$E$3:$N$3, 0)),"")</f>
        <v>1</v>
      </c>
      <c r="G86" s="279"/>
      <c r="H86" s="280" t="str">
        <f>IF(INDEX('NZS O&amp;G and CA100'!$D$5:$D$193, MATCH('Company Scorecard - select'!$A86, 'NZS O&amp;G and CA100'!$B$5:$B$193, 0)) = "Alignment", INDEX('NZS O&amp;G and CA100'!$E$5:$N$193, MATCH('Company Scorecard - select'!$A86, 'NZS O&amp;G and CA100'!$B$5:$B$193, 0),MATCH('Company Scorecard - select'!$C$5, 'NZS O&amp;G and CA100'!$E$3:$N$3, 0)),"")</f>
        <v/>
      </c>
      <c r="I86" s="279"/>
      <c r="J86" s="281" t="str">
        <f>IF(OR(INDEX('NZS O&amp;G and CA100'!$D$5:$D$193, MATCH('Company Scorecard - select'!$A86, 'NZS O&amp;G and CA100'!$B$5:$B$193, 0)) = "Climate Solutions", INDEX('NZS O&amp;G and CA100'!$D$5:$D$193, MATCH('Company Scorecard - select'!$A86, 'NZS O&amp;G and CA100'!$B$5:$B$193, 0)) = "Solutions (Al)"), INDEX('NZS O&amp;G and CA100'!$E$5:$N$193, MATCH('Company Scorecard - select'!$A86, 'NZS O&amp;G and CA100'!$B$5:$B$193, 0),MATCH('Company Scorecard - select'!$C$5, 'NZS O&amp;G and CA100'!$E$3:$N$3, 0)),"")</f>
        <v/>
      </c>
      <c r="K86" s="22" t="s">
        <v>76</v>
      </c>
      <c r="L86" s="294"/>
      <c r="M86" s="22" t="s">
        <v>76</v>
      </c>
      <c r="N86" s="22" t="s">
        <v>76</v>
      </c>
      <c r="DQ86" s="24"/>
      <c r="DR86" s="24"/>
      <c r="DS86" s="24"/>
    </row>
    <row r="87" spans="1:123" s="22" customFormat="1" ht="15" customHeight="1" outlineLevel="2">
      <c r="A87" s="298" t="str">
        <f t="shared" ref="A87:A92" si="5">LEFT(C87,FIND(":",C87)-1)</f>
        <v>5.iv.b</v>
      </c>
      <c r="B87" s="33"/>
      <c r="C87" s="97" t="s">
        <v>137</v>
      </c>
      <c r="D87" s="92" t="s">
        <v>70</v>
      </c>
      <c r="F87" s="280">
        <f>IF(INDEX('NZS O&amp;G and CA100'!$D$5:$D$193, MATCH('Company Scorecard - select'!$A87, 'NZS O&amp;G and CA100'!$B$5:$B$193, 0)) = "Disclosure", INDEX('NZS O&amp;G and CA100'!$E$5:$N$193, MATCH('Company Scorecard - select'!$A87, 'NZS O&amp;G and CA100'!$B$5:$B$193, 0),MATCH('Company Scorecard - select'!$C$5, 'NZS O&amp;G and CA100'!$E$3:$N$3, 0)),"")</f>
        <v>0</v>
      </c>
      <c r="G87" s="279"/>
      <c r="H87" s="280" t="str">
        <f>IF(INDEX('NZS O&amp;G and CA100'!$D$5:$D$193, MATCH('Company Scorecard - select'!$A87, 'NZS O&amp;G and CA100'!$B$5:$B$193, 0)) = "Alignment", INDEX('NZS O&amp;G and CA100'!$E$5:$N$193, MATCH('Company Scorecard - select'!$A87, 'NZS O&amp;G and CA100'!$B$5:$B$193, 0),MATCH('Company Scorecard - select'!$C$5, 'NZS O&amp;G and CA100'!$E$3:$N$3, 0)),"")</f>
        <v/>
      </c>
      <c r="I87" s="279"/>
      <c r="J87" s="281" t="str">
        <f>IF(OR(INDEX('NZS O&amp;G and CA100'!$D$5:$D$193, MATCH('Company Scorecard - select'!$A87, 'NZS O&amp;G and CA100'!$B$5:$B$193, 0)) = "Climate Solutions", INDEX('NZS O&amp;G and CA100'!$D$5:$D$193, MATCH('Company Scorecard - select'!$A87, 'NZS O&amp;G and CA100'!$B$5:$B$193, 0)) = "Solutions (Al)"), INDEX('NZS O&amp;G and CA100'!$E$5:$N$193, MATCH('Company Scorecard - select'!$A87, 'NZS O&amp;G and CA100'!$B$5:$B$193, 0),MATCH('Company Scorecard - select'!$C$5, 'NZS O&amp;G and CA100'!$E$3:$N$3, 0)),"")</f>
        <v/>
      </c>
      <c r="K87" s="22" t="s">
        <v>76</v>
      </c>
      <c r="L87" s="294"/>
      <c r="M87" s="22" t="s">
        <v>76</v>
      </c>
      <c r="N87" s="22" t="s">
        <v>76</v>
      </c>
      <c r="DQ87" s="24"/>
      <c r="DR87" s="24"/>
      <c r="DS87" s="24"/>
    </row>
    <row r="88" spans="1:123" s="22" customFormat="1" ht="15" customHeight="1" outlineLevel="2">
      <c r="A88" s="298" t="str">
        <f t="shared" si="5"/>
        <v>5.iv.c</v>
      </c>
      <c r="B88" s="33"/>
      <c r="C88" s="97" t="s">
        <v>138</v>
      </c>
      <c r="D88" s="92" t="s">
        <v>70</v>
      </c>
      <c r="F88" s="280">
        <f>IF(INDEX('NZS O&amp;G and CA100'!$D$5:$D$193, MATCH('Company Scorecard - select'!$A88, 'NZS O&amp;G and CA100'!$B$5:$B$193, 0)) = "Disclosure", INDEX('NZS O&amp;G and CA100'!$E$5:$N$193, MATCH('Company Scorecard - select'!$A88, 'NZS O&amp;G and CA100'!$B$5:$B$193, 0),MATCH('Company Scorecard - select'!$C$5, 'NZS O&amp;G and CA100'!$E$3:$N$3, 0)),"")</f>
        <v>0</v>
      </c>
      <c r="G88" s="279"/>
      <c r="H88" s="280" t="str">
        <f>IF(INDEX('NZS O&amp;G and CA100'!$D$5:$D$193, MATCH('Company Scorecard - select'!$A88, 'NZS O&amp;G and CA100'!$B$5:$B$193, 0)) = "Alignment", INDEX('NZS O&amp;G and CA100'!$E$5:$N$193, MATCH('Company Scorecard - select'!$A88, 'NZS O&amp;G and CA100'!$B$5:$B$193, 0),MATCH('Company Scorecard - select'!$C$5, 'NZS O&amp;G and CA100'!$E$3:$N$3, 0)),"")</f>
        <v/>
      </c>
      <c r="I88" s="279"/>
      <c r="J88" s="281" t="str">
        <f>IF(OR(INDEX('NZS O&amp;G and CA100'!$D$5:$D$193, MATCH('Company Scorecard - select'!$A88, 'NZS O&amp;G and CA100'!$B$5:$B$193, 0)) = "Climate Solutions", INDEX('NZS O&amp;G and CA100'!$D$5:$D$193, MATCH('Company Scorecard - select'!$A88, 'NZS O&amp;G and CA100'!$B$5:$B$193, 0)) = "Solutions (Al)"), INDEX('NZS O&amp;G and CA100'!$E$5:$N$193, MATCH('Company Scorecard - select'!$A88, 'NZS O&amp;G and CA100'!$B$5:$B$193, 0),MATCH('Company Scorecard - select'!$C$5, 'NZS O&amp;G and CA100'!$E$3:$N$3, 0)),"")</f>
        <v/>
      </c>
      <c r="K88" s="22" t="s">
        <v>76</v>
      </c>
      <c r="L88" s="294"/>
      <c r="M88" s="22" t="s">
        <v>76</v>
      </c>
      <c r="N88" s="22" t="s">
        <v>76</v>
      </c>
      <c r="DQ88" s="24"/>
      <c r="DR88" s="24"/>
      <c r="DS88" s="24"/>
    </row>
    <row r="89" spans="1:123" s="22" customFormat="1" ht="15" customHeight="1" outlineLevel="2">
      <c r="A89" s="298" t="str">
        <f t="shared" si="5"/>
        <v>5.iv.d</v>
      </c>
      <c r="B89" s="33"/>
      <c r="C89" s="97" t="s">
        <v>139</v>
      </c>
      <c r="D89" s="92" t="s">
        <v>70</v>
      </c>
      <c r="F89" s="280">
        <f>IF(INDEX('NZS O&amp;G and CA100'!$D$5:$D$193, MATCH('Company Scorecard - select'!$A89, 'NZS O&amp;G and CA100'!$B$5:$B$193, 0)) = "Disclosure", INDEX('NZS O&amp;G and CA100'!$E$5:$N$193, MATCH('Company Scorecard - select'!$A89, 'NZS O&amp;G and CA100'!$B$5:$B$193, 0),MATCH('Company Scorecard - select'!$C$5, 'NZS O&amp;G and CA100'!$E$3:$N$3, 0)),"")</f>
        <v>1</v>
      </c>
      <c r="G89" s="279"/>
      <c r="H89" s="280" t="str">
        <f>IF(INDEX('NZS O&amp;G and CA100'!$D$5:$D$193, MATCH('Company Scorecard - select'!$A89, 'NZS O&amp;G and CA100'!$B$5:$B$193, 0)) = "Alignment", INDEX('NZS O&amp;G and CA100'!$E$5:$N$193, MATCH('Company Scorecard - select'!$A89, 'NZS O&amp;G and CA100'!$B$5:$B$193, 0),MATCH('Company Scorecard - select'!$C$5, 'NZS O&amp;G and CA100'!$E$3:$N$3, 0)),"")</f>
        <v/>
      </c>
      <c r="I89" s="279"/>
      <c r="J89" s="281" t="str">
        <f>IF(OR(INDEX('NZS O&amp;G and CA100'!$D$5:$D$193, MATCH('Company Scorecard - select'!$A89, 'NZS O&amp;G and CA100'!$B$5:$B$193, 0)) = "Climate Solutions", INDEX('NZS O&amp;G and CA100'!$D$5:$D$193, MATCH('Company Scorecard - select'!$A89, 'NZS O&amp;G and CA100'!$B$5:$B$193, 0)) = "Solutions (Al)"), INDEX('NZS O&amp;G and CA100'!$E$5:$N$193, MATCH('Company Scorecard - select'!$A89, 'NZS O&amp;G and CA100'!$B$5:$B$193, 0),MATCH('Company Scorecard - select'!$C$5, 'NZS O&amp;G and CA100'!$E$3:$N$3, 0)),"")</f>
        <v/>
      </c>
      <c r="K89" s="22" t="s">
        <v>76</v>
      </c>
      <c r="L89" s="294"/>
      <c r="M89" s="22" t="s">
        <v>76</v>
      </c>
      <c r="N89" s="22" t="s">
        <v>76</v>
      </c>
      <c r="DQ89" s="24"/>
      <c r="DR89" s="24"/>
      <c r="DS89" s="24"/>
    </row>
    <row r="90" spans="1:123" s="22" customFormat="1" ht="15" customHeight="1" outlineLevel="2">
      <c r="A90" s="298" t="str">
        <f t="shared" si="5"/>
        <v>5.iv.e</v>
      </c>
      <c r="B90" s="33"/>
      <c r="C90" s="97" t="s">
        <v>140</v>
      </c>
      <c r="D90" s="92" t="s">
        <v>70</v>
      </c>
      <c r="F90" s="280">
        <f>IF(INDEX('NZS O&amp;G and CA100'!$D$5:$D$193, MATCH('Company Scorecard - select'!$A90, 'NZS O&amp;G and CA100'!$B$5:$B$193, 0)) = "Disclosure", INDEX('NZS O&amp;G and CA100'!$E$5:$N$193, MATCH('Company Scorecard - select'!$A90, 'NZS O&amp;G and CA100'!$B$5:$B$193, 0),MATCH('Company Scorecard - select'!$C$5, 'NZS O&amp;G and CA100'!$E$3:$N$3, 0)),"")</f>
        <v>1</v>
      </c>
      <c r="G90" s="279"/>
      <c r="H90" s="280" t="str">
        <f>IF(INDEX('NZS O&amp;G and CA100'!$D$5:$D$193, MATCH('Company Scorecard - select'!$A90, 'NZS O&amp;G and CA100'!$B$5:$B$193, 0)) = "Alignment", INDEX('NZS O&amp;G and CA100'!$E$5:$N$193, MATCH('Company Scorecard - select'!$A90, 'NZS O&amp;G and CA100'!$B$5:$B$193, 0),MATCH('Company Scorecard - select'!$C$5, 'NZS O&amp;G and CA100'!$E$3:$N$3, 0)),"")</f>
        <v/>
      </c>
      <c r="I90" s="279"/>
      <c r="J90" s="281" t="str">
        <f>IF(OR(INDEX('NZS O&amp;G and CA100'!$D$5:$D$193, MATCH('Company Scorecard - select'!$A90, 'NZS O&amp;G and CA100'!$B$5:$B$193, 0)) = "Climate Solutions", INDEX('NZS O&amp;G and CA100'!$D$5:$D$193, MATCH('Company Scorecard - select'!$A90, 'NZS O&amp;G and CA100'!$B$5:$B$193, 0)) = "Solutions (Al)"), INDEX('NZS O&amp;G and CA100'!$E$5:$N$193, MATCH('Company Scorecard - select'!$A90, 'NZS O&amp;G and CA100'!$B$5:$B$193, 0),MATCH('Company Scorecard - select'!$C$5, 'NZS O&amp;G and CA100'!$E$3:$N$3, 0)),"")</f>
        <v/>
      </c>
      <c r="K90" s="22" t="s">
        <v>76</v>
      </c>
      <c r="L90" s="294"/>
      <c r="M90" s="22" t="s">
        <v>76</v>
      </c>
      <c r="N90" s="22" t="s">
        <v>76</v>
      </c>
      <c r="DQ90" s="24"/>
      <c r="DR90" s="24"/>
      <c r="DS90" s="24"/>
    </row>
    <row r="91" spans="1:123" s="22" customFormat="1" ht="15" customHeight="1" outlineLevel="2">
      <c r="A91" s="298" t="str">
        <f t="shared" si="5"/>
        <v>5.iv.f</v>
      </c>
      <c r="B91" s="33"/>
      <c r="C91" s="97" t="s">
        <v>141</v>
      </c>
      <c r="D91" s="92" t="s">
        <v>70</v>
      </c>
      <c r="F91" s="280">
        <f>IF(INDEX('NZS O&amp;G and CA100'!$D$5:$D$193, MATCH('Company Scorecard - select'!$A91, 'NZS O&amp;G and CA100'!$B$5:$B$193, 0)) = "Disclosure", INDEX('NZS O&amp;G and CA100'!$E$5:$N$193, MATCH('Company Scorecard - select'!$A91, 'NZS O&amp;G and CA100'!$B$5:$B$193, 0),MATCH('Company Scorecard - select'!$C$5, 'NZS O&amp;G and CA100'!$E$3:$N$3, 0)),"")</f>
        <v>0</v>
      </c>
      <c r="G91" s="279"/>
      <c r="H91" s="280" t="str">
        <f>IF(INDEX('NZS O&amp;G and CA100'!$D$5:$D$193, MATCH('Company Scorecard - select'!$A91, 'NZS O&amp;G and CA100'!$B$5:$B$193, 0)) = "Alignment", INDEX('NZS O&amp;G and CA100'!$E$5:$N$193, MATCH('Company Scorecard - select'!$A91, 'NZS O&amp;G and CA100'!$B$5:$B$193, 0),MATCH('Company Scorecard - select'!$C$5, 'NZS O&amp;G and CA100'!$E$3:$N$3, 0)),"")</f>
        <v/>
      </c>
      <c r="I91" s="279"/>
      <c r="J91" s="281" t="str">
        <f>IF(OR(INDEX('NZS O&amp;G and CA100'!$D$5:$D$193, MATCH('Company Scorecard - select'!$A91, 'NZS O&amp;G and CA100'!$B$5:$B$193, 0)) = "Climate Solutions", INDEX('NZS O&amp;G and CA100'!$D$5:$D$193, MATCH('Company Scorecard - select'!$A91, 'NZS O&amp;G and CA100'!$B$5:$B$193, 0)) = "Solutions (Al)"), INDEX('NZS O&amp;G and CA100'!$E$5:$N$193, MATCH('Company Scorecard - select'!$A91, 'NZS O&amp;G and CA100'!$B$5:$B$193, 0),MATCH('Company Scorecard - select'!$C$5, 'NZS O&amp;G and CA100'!$E$3:$N$3, 0)),"")</f>
        <v/>
      </c>
      <c r="K91" s="22" t="s">
        <v>76</v>
      </c>
      <c r="L91" s="294"/>
      <c r="M91" s="22" t="s">
        <v>76</v>
      </c>
      <c r="N91" s="22" t="s">
        <v>76</v>
      </c>
      <c r="DQ91" s="24"/>
      <c r="DR91" s="24"/>
      <c r="DS91" s="24"/>
    </row>
    <row r="92" spans="1:123" s="22" customFormat="1" ht="15" customHeight="1" outlineLevel="2">
      <c r="A92" s="298" t="str">
        <f t="shared" si="5"/>
        <v>5.iv.g</v>
      </c>
      <c r="B92" s="33"/>
      <c r="C92" s="97" t="s">
        <v>142</v>
      </c>
      <c r="D92" s="92" t="s">
        <v>70</v>
      </c>
      <c r="F92" s="280" t="str">
        <f>IF(INDEX('NZS O&amp;G and CA100'!$D$5:$D$193, MATCH('Company Scorecard - select'!$A92, 'NZS O&amp;G and CA100'!$B$5:$B$193, 0)) = "Disclosure", INDEX('NZS O&amp;G and CA100'!$E$5:$N$193, MATCH('Company Scorecard - select'!$A92, 'NZS O&amp;G and CA100'!$B$5:$B$193, 0),MATCH('Company Scorecard - select'!$C$5, 'NZS O&amp;G and CA100'!$E$3:$N$3, 0)),"")</f>
        <v/>
      </c>
      <c r="G92" s="279"/>
      <c r="H92" s="280" t="str">
        <f>IF(INDEX('NZS O&amp;G and CA100'!$D$5:$D$193, MATCH('Company Scorecard - select'!$A92, 'NZS O&amp;G and CA100'!$B$5:$B$193, 0)) = "Alignment", INDEX('NZS O&amp;G and CA100'!$E$5:$N$193, MATCH('Company Scorecard - select'!$A92, 'NZS O&amp;G and CA100'!$B$5:$B$193, 0),MATCH('Company Scorecard - select'!$C$5, 'NZS O&amp;G and CA100'!$E$3:$N$3, 0)),"")</f>
        <v>Under development</v>
      </c>
      <c r="I92" s="279"/>
      <c r="J92" s="281" t="str">
        <f>IF(OR(INDEX('NZS O&amp;G and CA100'!$D$5:$D$193, MATCH('Company Scorecard - select'!$A92, 'NZS O&amp;G and CA100'!$B$5:$B$193, 0)) = "Climate Solutions", INDEX('NZS O&amp;G and CA100'!$D$5:$D$193, MATCH('Company Scorecard - select'!$A92, 'NZS O&amp;G and CA100'!$B$5:$B$193, 0)) = "Solutions (Al)"), INDEX('NZS O&amp;G and CA100'!$E$5:$N$193, MATCH('Company Scorecard - select'!$A92, 'NZS O&amp;G and CA100'!$B$5:$B$193, 0),MATCH('Company Scorecard - select'!$C$5, 'NZS O&amp;G and CA100'!$E$3:$N$3, 0)),"")</f>
        <v/>
      </c>
      <c r="K92" s="22" t="s">
        <v>76</v>
      </c>
      <c r="L92" s="294"/>
      <c r="M92" s="22" t="s">
        <v>76</v>
      </c>
      <c r="N92" s="22" t="s">
        <v>76</v>
      </c>
      <c r="DQ92" s="24"/>
      <c r="DR92" s="24"/>
      <c r="DS92" s="24"/>
    </row>
    <row r="93" spans="1:123" s="22" customFormat="1" ht="15" customHeight="1" outlineLevel="1">
      <c r="A93" s="297" t="s">
        <v>143</v>
      </c>
      <c r="B93" s="33"/>
      <c r="C93" s="102" t="s">
        <v>144</v>
      </c>
      <c r="D93" s="92" t="s">
        <v>70</v>
      </c>
      <c r="E93" s="26"/>
      <c r="F93" s="280">
        <f>SUM(F94,F95,F96,F97,F98,F99,F100,F107,F108,F110)/COUNT(F94,F95,F96,F97,F98,F99,F100,F107,F108,F110)</f>
        <v>0.22222222222222221</v>
      </c>
      <c r="G93" s="285"/>
      <c r="H93" s="281">
        <f>SUM(H101,H102,H103,H104,H105,H106,H109,H111)/COUNT(H101,H102,H103,H104,H105,H106,H109,H111)</f>
        <v>0.2</v>
      </c>
      <c r="I93" s="279"/>
      <c r="J93" s="281" t="str">
        <f>IF(OR(INDEX('NZS O&amp;G and CA100'!$D$5:$D$193, MATCH('Company Scorecard - select'!$A93, 'NZS O&amp;G and CA100'!$B$5:$B$193, 0)) = "Climate Solutions", INDEX('NZS O&amp;G and CA100'!$D$5:$D$193, MATCH('Company Scorecard - select'!$A93, 'NZS O&amp;G and CA100'!$B$5:$B$193, 0)) = "Solutions (Al)"), INDEX('NZS O&amp;G and CA100'!$E$5:$N$193, MATCH('Company Scorecard - select'!$A93, 'NZS O&amp;G and CA100'!$B$5:$B$193, 0),MATCH('Company Scorecard - select'!$C$5, 'NZS O&amp;G and CA100'!$E$3:$N$3, 0)),"")</f>
        <v/>
      </c>
      <c r="K93" s="22" t="s">
        <v>76</v>
      </c>
      <c r="L93" s="294"/>
      <c r="M93" s="22" t="s">
        <v>76</v>
      </c>
      <c r="N93" s="22" t="s">
        <v>76</v>
      </c>
      <c r="DQ93" s="24"/>
      <c r="DR93" s="24"/>
      <c r="DS93" s="24"/>
    </row>
    <row r="94" spans="1:123" s="22" customFormat="1" ht="15" customHeight="1" outlineLevel="2">
      <c r="A94" s="298" t="str">
        <f>LEFT(C94,FIND(":",C94)-1)</f>
        <v>5.v.a</v>
      </c>
      <c r="B94" s="33"/>
      <c r="C94" s="97" t="s">
        <v>145</v>
      </c>
      <c r="D94" s="92" t="s">
        <v>70</v>
      </c>
      <c r="F94" s="280">
        <f>IF(INDEX('NZS O&amp;G and CA100'!$D$5:$D$193, MATCH('Company Scorecard - select'!$A94, 'NZS O&amp;G and CA100'!$B$5:$B$193, 0)) = "Disclosure", INDEX('NZS O&amp;G and CA100'!$E$5:$N$193, MATCH('Company Scorecard - select'!$A94, 'NZS O&amp;G and CA100'!$B$5:$B$193, 0),MATCH('Company Scorecard - select'!$C$5, 'NZS O&amp;G and CA100'!$E$3:$N$3, 0)),"")</f>
        <v>0</v>
      </c>
      <c r="G94" s="279"/>
      <c r="H94" s="280" t="str">
        <f>IF(INDEX('NZS O&amp;G and CA100'!$D$5:$D$193, MATCH('Company Scorecard - select'!$A94, 'NZS O&amp;G and CA100'!$B$5:$B$193, 0)) = "Alignment", INDEX('NZS O&amp;G and CA100'!$E$5:$N$193, MATCH('Company Scorecard - select'!$A94, 'NZS O&amp;G and CA100'!$B$5:$B$193, 0),MATCH('Company Scorecard - select'!$C$5, 'NZS O&amp;G and CA100'!$E$3:$N$3, 0)),"")</f>
        <v/>
      </c>
      <c r="I94" s="279"/>
      <c r="J94" s="281" t="str">
        <f>IF(OR(INDEX('NZS O&amp;G and CA100'!$D$5:$D$193, MATCH('Company Scorecard - select'!$A94, 'NZS O&amp;G and CA100'!$B$5:$B$193, 0)) = "Climate Solutions", INDEX('NZS O&amp;G and CA100'!$D$5:$D$193, MATCH('Company Scorecard - select'!$A94, 'NZS O&amp;G and CA100'!$B$5:$B$193, 0)) = "Solutions (Al)"), INDEX('NZS O&amp;G and CA100'!$E$5:$N$193, MATCH('Company Scorecard - select'!$A94, 'NZS O&amp;G and CA100'!$B$5:$B$193, 0),MATCH('Company Scorecard - select'!$C$5, 'NZS O&amp;G and CA100'!$E$3:$N$3, 0)),"")</f>
        <v/>
      </c>
      <c r="K94" s="22" t="s">
        <v>76</v>
      </c>
      <c r="L94" s="294"/>
      <c r="M94" s="22" t="s">
        <v>76</v>
      </c>
      <c r="N94" s="22" t="s">
        <v>76</v>
      </c>
      <c r="DQ94" s="24"/>
      <c r="DR94" s="24"/>
      <c r="DS94" s="24"/>
    </row>
    <row r="95" spans="1:123" s="22" customFormat="1" ht="15" customHeight="1" outlineLevel="2">
      <c r="A95" s="298" t="str">
        <f t="shared" ref="A95:A111" si="6">LEFT(C95,FIND(":",C95)-1)</f>
        <v>5.v.b</v>
      </c>
      <c r="B95" s="33"/>
      <c r="C95" s="97" t="s">
        <v>146</v>
      </c>
      <c r="D95" s="92" t="s">
        <v>70</v>
      </c>
      <c r="F95" s="280">
        <f>IF(INDEX('NZS O&amp;G and CA100'!$D$5:$D$193, MATCH('Company Scorecard - select'!$A95, 'NZS O&amp;G and CA100'!$B$5:$B$193, 0)) = "Disclosure", INDEX('NZS O&amp;G and CA100'!$E$5:$N$193, MATCH('Company Scorecard - select'!$A95, 'NZS O&amp;G and CA100'!$B$5:$B$193, 0),MATCH('Company Scorecard - select'!$C$5, 'NZS O&amp;G and CA100'!$E$3:$N$3, 0)),"")</f>
        <v>0</v>
      </c>
      <c r="G95" s="279"/>
      <c r="H95" s="280" t="str">
        <f>IF(INDEX('NZS O&amp;G and CA100'!$D$5:$D$193, MATCH('Company Scorecard - select'!$A95, 'NZS O&amp;G and CA100'!$B$5:$B$193, 0)) = "Alignment", INDEX('NZS O&amp;G and CA100'!$E$5:$N$193, MATCH('Company Scorecard - select'!$A95, 'NZS O&amp;G and CA100'!$B$5:$B$193, 0),MATCH('Company Scorecard - select'!$C$5, 'NZS O&amp;G and CA100'!$E$3:$N$3, 0)),"")</f>
        <v/>
      </c>
      <c r="I95" s="279"/>
      <c r="J95" s="281" t="str">
        <f>IF(OR(INDEX('NZS O&amp;G and CA100'!$D$5:$D$193, MATCH('Company Scorecard - select'!$A95, 'NZS O&amp;G and CA100'!$B$5:$B$193, 0)) = "Climate Solutions", INDEX('NZS O&amp;G and CA100'!$D$5:$D$193, MATCH('Company Scorecard - select'!$A95, 'NZS O&amp;G and CA100'!$B$5:$B$193, 0)) = "Solutions (Al)"), INDEX('NZS O&amp;G and CA100'!$E$5:$N$193, MATCH('Company Scorecard - select'!$A95, 'NZS O&amp;G and CA100'!$B$5:$B$193, 0),MATCH('Company Scorecard - select'!$C$5, 'NZS O&amp;G and CA100'!$E$3:$N$3, 0)),"")</f>
        <v/>
      </c>
      <c r="K95" s="22" t="s">
        <v>76</v>
      </c>
      <c r="L95" s="294"/>
      <c r="M95" s="22" t="s">
        <v>76</v>
      </c>
      <c r="N95" s="22" t="s">
        <v>76</v>
      </c>
      <c r="DQ95" s="24"/>
      <c r="DR95" s="24"/>
      <c r="DS95" s="24"/>
    </row>
    <row r="96" spans="1:123" s="22" customFormat="1" ht="15" customHeight="1" outlineLevel="2">
      <c r="A96" s="298" t="str">
        <f t="shared" si="6"/>
        <v>5.v.c</v>
      </c>
      <c r="B96" s="33"/>
      <c r="C96" s="97" t="s">
        <v>147</v>
      </c>
      <c r="D96" s="92" t="s">
        <v>70</v>
      </c>
      <c r="F96" s="280">
        <f>IF(INDEX('NZS O&amp;G and CA100'!$D$5:$D$193, MATCH('Company Scorecard - select'!$A96, 'NZS O&amp;G and CA100'!$B$5:$B$193, 0)) = "Disclosure", INDEX('NZS O&amp;G and CA100'!$E$5:$N$193, MATCH('Company Scorecard - select'!$A96, 'NZS O&amp;G and CA100'!$B$5:$B$193, 0),MATCH('Company Scorecard - select'!$C$5, 'NZS O&amp;G and CA100'!$E$3:$N$3, 0)),"")</f>
        <v>0</v>
      </c>
      <c r="G96" s="279"/>
      <c r="H96" s="280" t="str">
        <f>IF(INDEX('NZS O&amp;G and CA100'!$D$5:$D$193, MATCH('Company Scorecard - select'!$A96, 'NZS O&amp;G and CA100'!$B$5:$B$193, 0)) = "Alignment", INDEX('NZS O&amp;G and CA100'!$E$5:$N$193, MATCH('Company Scorecard - select'!$A96, 'NZS O&amp;G and CA100'!$B$5:$B$193, 0),MATCH('Company Scorecard - select'!$C$5, 'NZS O&amp;G and CA100'!$E$3:$N$3, 0)),"")</f>
        <v/>
      </c>
      <c r="I96" s="279"/>
      <c r="J96" s="281" t="str">
        <f>IF(OR(INDEX('NZS O&amp;G and CA100'!$D$5:$D$193, MATCH('Company Scorecard - select'!$A96, 'NZS O&amp;G and CA100'!$B$5:$B$193, 0)) = "Climate Solutions", INDEX('NZS O&amp;G and CA100'!$D$5:$D$193, MATCH('Company Scorecard - select'!$A96, 'NZS O&amp;G and CA100'!$B$5:$B$193, 0)) = "Solutions (Al)"), INDEX('NZS O&amp;G and CA100'!$E$5:$N$193, MATCH('Company Scorecard - select'!$A96, 'NZS O&amp;G and CA100'!$B$5:$B$193, 0),MATCH('Company Scorecard - select'!$C$5, 'NZS O&amp;G and CA100'!$E$3:$N$3, 0)),"")</f>
        <v/>
      </c>
      <c r="K96" s="22" t="s">
        <v>76</v>
      </c>
      <c r="L96" s="294"/>
      <c r="M96" s="22" t="s">
        <v>76</v>
      </c>
      <c r="N96" s="22" t="s">
        <v>76</v>
      </c>
      <c r="DQ96" s="24"/>
      <c r="DR96" s="24"/>
      <c r="DS96" s="24"/>
    </row>
    <row r="97" spans="1:123" s="22" customFormat="1" ht="15" customHeight="1" outlineLevel="2">
      <c r="A97" s="298" t="str">
        <f t="shared" si="6"/>
        <v>5.v.d</v>
      </c>
      <c r="B97" s="33"/>
      <c r="C97" s="97" t="s">
        <v>148</v>
      </c>
      <c r="D97" s="92" t="s">
        <v>70</v>
      </c>
      <c r="F97" s="280">
        <f>IF(INDEX('NZS O&amp;G and CA100'!$D$5:$D$193, MATCH('Company Scorecard - select'!$A97, 'NZS O&amp;G and CA100'!$B$5:$B$193, 0)) = "Disclosure", INDEX('NZS O&amp;G and CA100'!$E$5:$N$193, MATCH('Company Scorecard - select'!$A97, 'NZS O&amp;G and CA100'!$B$5:$B$193, 0),MATCH('Company Scorecard - select'!$C$5, 'NZS O&amp;G and CA100'!$E$3:$N$3, 0)),"")</f>
        <v>0</v>
      </c>
      <c r="G97" s="279"/>
      <c r="H97" s="280" t="str">
        <f>IF(INDEX('NZS O&amp;G and CA100'!$D$5:$D$193, MATCH('Company Scorecard - select'!$A97, 'NZS O&amp;G and CA100'!$B$5:$B$193, 0)) = "Alignment", INDEX('NZS O&amp;G and CA100'!$E$5:$N$193, MATCH('Company Scorecard - select'!$A97, 'NZS O&amp;G and CA100'!$B$5:$B$193, 0),MATCH('Company Scorecard - select'!$C$5, 'NZS O&amp;G and CA100'!$E$3:$N$3, 0)),"")</f>
        <v/>
      </c>
      <c r="I97" s="279"/>
      <c r="J97" s="281" t="str">
        <f>IF(OR(INDEX('NZS O&amp;G and CA100'!$D$5:$D$193, MATCH('Company Scorecard - select'!$A97, 'NZS O&amp;G and CA100'!$B$5:$B$193, 0)) = "Climate Solutions", INDEX('NZS O&amp;G and CA100'!$D$5:$D$193, MATCH('Company Scorecard - select'!$A97, 'NZS O&amp;G and CA100'!$B$5:$B$193, 0)) = "Solutions (Al)"), INDEX('NZS O&amp;G and CA100'!$E$5:$N$193, MATCH('Company Scorecard - select'!$A97, 'NZS O&amp;G and CA100'!$B$5:$B$193, 0),MATCH('Company Scorecard - select'!$C$5, 'NZS O&amp;G and CA100'!$E$3:$N$3, 0)),"")</f>
        <v/>
      </c>
      <c r="K97" s="22" t="s">
        <v>76</v>
      </c>
      <c r="L97" s="294"/>
      <c r="M97" s="22" t="s">
        <v>76</v>
      </c>
      <c r="N97" s="22" t="s">
        <v>76</v>
      </c>
      <c r="DQ97" s="24"/>
      <c r="DR97" s="24"/>
      <c r="DS97" s="24"/>
    </row>
    <row r="98" spans="1:123" s="22" customFormat="1" ht="15" customHeight="1" outlineLevel="2">
      <c r="A98" s="298" t="str">
        <f t="shared" si="6"/>
        <v>5.v.e</v>
      </c>
      <c r="B98" s="33"/>
      <c r="C98" s="97" t="s">
        <v>149</v>
      </c>
      <c r="D98" s="92" t="s">
        <v>70</v>
      </c>
      <c r="F98" s="280">
        <f>IF(INDEX('NZS O&amp;G and CA100'!$D$5:$D$193, MATCH('Company Scorecard - select'!$A98, 'NZS O&amp;G and CA100'!$B$5:$B$193, 0)) = "Disclosure", INDEX('NZS O&amp;G and CA100'!$E$5:$N$193, MATCH('Company Scorecard - select'!$A98, 'NZS O&amp;G and CA100'!$B$5:$B$193, 0),MATCH('Company Scorecard - select'!$C$5, 'NZS O&amp;G and CA100'!$E$3:$N$3, 0)),"")</f>
        <v>1</v>
      </c>
      <c r="G98" s="279"/>
      <c r="H98" s="280" t="str">
        <f>IF(INDEX('NZS O&amp;G and CA100'!$D$5:$D$193, MATCH('Company Scorecard - select'!$A98, 'NZS O&amp;G and CA100'!$B$5:$B$193, 0)) = "Alignment", INDEX('NZS O&amp;G and CA100'!$E$5:$N$193, MATCH('Company Scorecard - select'!$A98, 'NZS O&amp;G and CA100'!$B$5:$B$193, 0),MATCH('Company Scorecard - select'!$C$5, 'NZS O&amp;G and CA100'!$E$3:$N$3, 0)),"")</f>
        <v/>
      </c>
      <c r="I98" s="279"/>
      <c r="J98" s="281" t="str">
        <f>IF(OR(INDEX('NZS O&amp;G and CA100'!$D$5:$D$193, MATCH('Company Scorecard - select'!$A98, 'NZS O&amp;G and CA100'!$B$5:$B$193, 0)) = "Climate Solutions", INDEX('NZS O&amp;G and CA100'!$D$5:$D$193, MATCH('Company Scorecard - select'!$A98, 'NZS O&amp;G and CA100'!$B$5:$B$193, 0)) = "Solutions (Al)"), INDEX('NZS O&amp;G and CA100'!$E$5:$N$193, MATCH('Company Scorecard - select'!$A98, 'NZS O&amp;G and CA100'!$B$5:$B$193, 0),MATCH('Company Scorecard - select'!$C$5, 'NZS O&amp;G and CA100'!$E$3:$N$3, 0)),"")</f>
        <v/>
      </c>
      <c r="K98" s="22" t="s">
        <v>76</v>
      </c>
      <c r="L98" s="294"/>
      <c r="M98" s="22" t="s">
        <v>76</v>
      </c>
      <c r="N98" s="22" t="s">
        <v>76</v>
      </c>
      <c r="DQ98" s="24"/>
      <c r="DR98" s="24"/>
      <c r="DS98" s="24"/>
    </row>
    <row r="99" spans="1:123" s="22" customFormat="1" ht="15" customHeight="1" outlineLevel="2">
      <c r="A99" s="298" t="str">
        <f t="shared" si="6"/>
        <v>5.v.f</v>
      </c>
      <c r="B99" s="33"/>
      <c r="C99" s="97" t="s">
        <v>150</v>
      </c>
      <c r="D99" s="92" t="s">
        <v>70</v>
      </c>
      <c r="F99" s="280">
        <f>IF(INDEX('NZS O&amp;G and CA100'!$D$5:$D$193, MATCH('Company Scorecard - select'!$A99, 'NZS O&amp;G and CA100'!$B$5:$B$193, 0)) = "Disclosure", INDEX('NZS O&amp;G and CA100'!$E$5:$N$193, MATCH('Company Scorecard - select'!$A99, 'NZS O&amp;G and CA100'!$B$5:$B$193, 0),MATCH('Company Scorecard - select'!$C$5, 'NZS O&amp;G and CA100'!$E$3:$N$3, 0)),"")</f>
        <v>1</v>
      </c>
      <c r="G99" s="279"/>
      <c r="H99" s="280" t="str">
        <f>IF(INDEX('NZS O&amp;G and CA100'!$D$5:$D$193, MATCH('Company Scorecard - select'!$A99, 'NZS O&amp;G and CA100'!$B$5:$B$193, 0)) = "Alignment", INDEX('NZS O&amp;G and CA100'!$E$5:$N$193, MATCH('Company Scorecard - select'!$A99, 'NZS O&amp;G and CA100'!$B$5:$B$193, 0),MATCH('Company Scorecard - select'!$C$5, 'NZS O&amp;G and CA100'!$E$3:$N$3, 0)),"")</f>
        <v/>
      </c>
      <c r="I99" s="279"/>
      <c r="J99" s="281" t="str">
        <f>IF(OR(INDEX('NZS O&amp;G and CA100'!$D$5:$D$193, MATCH('Company Scorecard - select'!$A99, 'NZS O&amp;G and CA100'!$B$5:$B$193, 0)) = "Climate Solutions", INDEX('NZS O&amp;G and CA100'!$D$5:$D$193, MATCH('Company Scorecard - select'!$A99, 'NZS O&amp;G and CA100'!$B$5:$B$193, 0)) = "Solutions (Al)"), INDEX('NZS O&amp;G and CA100'!$E$5:$N$193, MATCH('Company Scorecard - select'!$A99, 'NZS O&amp;G and CA100'!$B$5:$B$193, 0),MATCH('Company Scorecard - select'!$C$5, 'NZS O&amp;G and CA100'!$E$3:$N$3, 0)),"")</f>
        <v/>
      </c>
      <c r="K99" s="22" t="s">
        <v>76</v>
      </c>
      <c r="L99" s="294"/>
      <c r="M99" s="22" t="s">
        <v>76</v>
      </c>
      <c r="N99" s="22" t="s">
        <v>76</v>
      </c>
      <c r="DQ99" s="24"/>
      <c r="DR99" s="24"/>
      <c r="DS99" s="24"/>
    </row>
    <row r="100" spans="1:123" s="22" customFormat="1" ht="15" customHeight="1" outlineLevel="2">
      <c r="A100" s="298" t="str">
        <f t="shared" si="6"/>
        <v>5.v.g</v>
      </c>
      <c r="B100" s="33"/>
      <c r="C100" s="97" t="s">
        <v>151</v>
      </c>
      <c r="D100" s="92" t="s">
        <v>70</v>
      </c>
      <c r="F100" s="280" t="str">
        <f>IF(INDEX('NZS O&amp;G and CA100'!$D$5:$D$193, MATCH('Company Scorecard - select'!$A100, 'NZS O&amp;G and CA100'!$B$5:$B$193, 0)) = "Disclosure", INDEX('NZS O&amp;G and CA100'!$E$5:$N$193, MATCH('Company Scorecard - select'!$A100, 'NZS O&amp;G and CA100'!$B$5:$B$193, 0),MATCH('Company Scorecard - select'!$C$5, 'NZS O&amp;G and CA100'!$E$3:$N$3, 0)),"")</f>
        <v>Not Applicable</v>
      </c>
      <c r="G100" s="279"/>
      <c r="H100" s="280" t="str">
        <f>IF(INDEX('NZS O&amp;G and CA100'!$D$5:$D$193, MATCH('Company Scorecard - select'!$A100, 'NZS O&amp;G and CA100'!$B$5:$B$193, 0)) = "Alignment", INDEX('NZS O&amp;G and CA100'!$E$5:$N$193, MATCH('Company Scorecard - select'!$A100, 'NZS O&amp;G and CA100'!$B$5:$B$193, 0),MATCH('Company Scorecard - select'!$C$5, 'NZS O&amp;G and CA100'!$E$3:$N$3, 0)),"")</f>
        <v/>
      </c>
      <c r="I100" s="279"/>
      <c r="J100" s="281" t="str">
        <f>IF(OR(INDEX('NZS O&amp;G and CA100'!$D$5:$D$193, MATCH('Company Scorecard - select'!$A100, 'NZS O&amp;G and CA100'!$B$5:$B$193, 0)) = "Climate Solutions", INDEX('NZS O&amp;G and CA100'!$D$5:$D$193, MATCH('Company Scorecard - select'!$A100, 'NZS O&amp;G and CA100'!$B$5:$B$193, 0)) = "Solutions (Al)"), INDEX('NZS O&amp;G and CA100'!$E$5:$N$193, MATCH('Company Scorecard - select'!$A100, 'NZS O&amp;G and CA100'!$B$5:$B$193, 0),MATCH('Company Scorecard - select'!$C$5, 'NZS O&amp;G and CA100'!$E$3:$N$3, 0)),"")</f>
        <v/>
      </c>
      <c r="K100" s="22" t="s">
        <v>76</v>
      </c>
      <c r="L100" s="294"/>
      <c r="M100" s="22" t="s">
        <v>76</v>
      </c>
      <c r="N100" s="22" t="s">
        <v>76</v>
      </c>
      <c r="DQ100" s="24"/>
      <c r="DR100" s="24"/>
      <c r="DS100" s="24"/>
    </row>
    <row r="101" spans="1:123" s="22" customFormat="1" ht="15" customHeight="1" outlineLevel="2">
      <c r="A101" s="298" t="str">
        <f t="shared" si="6"/>
        <v>5.v.h</v>
      </c>
      <c r="B101" s="33"/>
      <c r="C101" s="97" t="s">
        <v>152</v>
      </c>
      <c r="D101" s="92" t="s">
        <v>70</v>
      </c>
      <c r="F101" s="280" t="str">
        <f>IF(INDEX('NZS O&amp;G and CA100'!$D$5:$D$193, MATCH('Company Scorecard - select'!$A101, 'NZS O&amp;G and CA100'!$B$5:$B$193, 0)) = "Disclosure", INDEX('NZS O&amp;G and CA100'!$E$5:$N$193, MATCH('Company Scorecard - select'!$A101, 'NZS O&amp;G and CA100'!$B$5:$B$193, 0),MATCH('Company Scorecard - select'!$C$5, 'NZS O&amp;G and CA100'!$E$3:$N$3, 0)),"")</f>
        <v/>
      </c>
      <c r="G101" s="279"/>
      <c r="H101" s="280">
        <f>IF(INDEX('NZS O&amp;G and CA100'!$D$5:$D$193, MATCH('Company Scorecard - select'!$A101, 'NZS O&amp;G and CA100'!$B$5:$B$193, 0)) = "Alignment", INDEX('NZS O&amp;G and CA100'!$E$5:$N$193, MATCH('Company Scorecard - select'!$A101, 'NZS O&amp;G and CA100'!$B$5:$B$193, 0),MATCH('Company Scorecard - select'!$C$5, 'NZS O&amp;G and CA100'!$E$3:$N$3, 0)),"")</f>
        <v>0</v>
      </c>
      <c r="I101" s="279"/>
      <c r="J101" s="281" t="str">
        <f>IF(OR(INDEX('NZS O&amp;G and CA100'!$D$5:$D$193, MATCH('Company Scorecard - select'!$A101, 'NZS O&amp;G and CA100'!$B$5:$B$193, 0)) = "Climate Solutions", INDEX('NZS O&amp;G and CA100'!$D$5:$D$193, MATCH('Company Scorecard - select'!$A101, 'NZS O&amp;G and CA100'!$B$5:$B$193, 0)) = "Solutions (Al)"), INDEX('NZS O&amp;G and CA100'!$E$5:$N$193, MATCH('Company Scorecard - select'!$A101, 'NZS O&amp;G and CA100'!$B$5:$B$193, 0),MATCH('Company Scorecard - select'!$C$5, 'NZS O&amp;G and CA100'!$E$3:$N$3, 0)),"")</f>
        <v/>
      </c>
      <c r="K101" s="22" t="s">
        <v>76</v>
      </c>
      <c r="L101" s="294"/>
      <c r="M101" s="22" t="s">
        <v>76</v>
      </c>
      <c r="N101" s="22" t="s">
        <v>76</v>
      </c>
      <c r="DQ101" s="24"/>
      <c r="DR101" s="24"/>
      <c r="DS101" s="24"/>
    </row>
    <row r="102" spans="1:123" s="22" customFormat="1" ht="15" customHeight="1" outlineLevel="2">
      <c r="A102" s="298" t="str">
        <f t="shared" si="6"/>
        <v>5.v.i</v>
      </c>
      <c r="B102" s="33"/>
      <c r="C102" s="97" t="s">
        <v>153</v>
      </c>
      <c r="D102" s="92" t="s">
        <v>70</v>
      </c>
      <c r="F102" s="280" t="str">
        <f>IF(INDEX('NZS O&amp;G and CA100'!$D$5:$D$193, MATCH('Company Scorecard - select'!$A102, 'NZS O&amp;G and CA100'!$B$5:$B$193, 0)) = "Disclosure", INDEX('NZS O&amp;G and CA100'!$E$5:$N$193, MATCH('Company Scorecard - select'!$A102, 'NZS O&amp;G and CA100'!$B$5:$B$193, 0),MATCH('Company Scorecard - select'!$C$5, 'NZS O&amp;G and CA100'!$E$3:$N$3, 0)),"")</f>
        <v/>
      </c>
      <c r="G102" s="279"/>
      <c r="H102" s="280">
        <f>IF(INDEX('NZS O&amp;G and CA100'!$D$5:$D$193, MATCH('Company Scorecard - select'!$A102, 'NZS O&amp;G and CA100'!$B$5:$B$193, 0)) = "Alignment", INDEX('NZS O&amp;G and CA100'!$E$5:$N$193, MATCH('Company Scorecard - select'!$A102, 'NZS O&amp;G and CA100'!$B$5:$B$193, 0),MATCH('Company Scorecard - select'!$C$5, 'NZS O&amp;G and CA100'!$E$3:$N$3, 0)),"")</f>
        <v>0</v>
      </c>
      <c r="I102" s="279"/>
      <c r="J102" s="281" t="str">
        <f>IF(OR(INDEX('NZS O&amp;G and CA100'!$D$5:$D$193, MATCH('Company Scorecard - select'!$A102, 'NZS O&amp;G and CA100'!$B$5:$B$193, 0)) = "Climate Solutions", INDEX('NZS O&amp;G and CA100'!$D$5:$D$193, MATCH('Company Scorecard - select'!$A102, 'NZS O&amp;G and CA100'!$B$5:$B$193, 0)) = "Solutions (Al)"), INDEX('NZS O&amp;G and CA100'!$E$5:$N$193, MATCH('Company Scorecard - select'!$A102, 'NZS O&amp;G and CA100'!$B$5:$B$193, 0),MATCH('Company Scorecard - select'!$C$5, 'NZS O&amp;G and CA100'!$E$3:$N$3, 0)),"")</f>
        <v/>
      </c>
      <c r="K102" s="22" t="s">
        <v>76</v>
      </c>
      <c r="L102" s="294"/>
      <c r="M102" s="22" t="s">
        <v>76</v>
      </c>
      <c r="N102" s="22" t="s">
        <v>76</v>
      </c>
      <c r="DQ102" s="24"/>
      <c r="DR102" s="24"/>
      <c r="DS102" s="24"/>
    </row>
    <row r="103" spans="1:123" s="22" customFormat="1" ht="15" customHeight="1" outlineLevel="2">
      <c r="A103" s="298" t="str">
        <f t="shared" si="6"/>
        <v>5.v.j</v>
      </c>
      <c r="B103" s="33"/>
      <c r="C103" s="97" t="s">
        <v>154</v>
      </c>
      <c r="D103" s="92" t="s">
        <v>70</v>
      </c>
      <c r="F103" s="280" t="str">
        <f>IF(INDEX('NZS O&amp;G and CA100'!$D$5:$D$193, MATCH('Company Scorecard - select'!$A103, 'NZS O&amp;G and CA100'!$B$5:$B$193, 0)) = "Disclosure", INDEX('NZS O&amp;G and CA100'!$E$5:$N$193, MATCH('Company Scorecard - select'!$A103, 'NZS O&amp;G and CA100'!$B$5:$B$193, 0),MATCH('Company Scorecard - select'!$C$5, 'NZS O&amp;G and CA100'!$E$3:$N$3, 0)),"")</f>
        <v/>
      </c>
      <c r="G103" s="279"/>
      <c r="H103" s="280">
        <f>IF(INDEX('NZS O&amp;G and CA100'!$D$5:$D$193, MATCH('Company Scorecard - select'!$A103, 'NZS O&amp;G and CA100'!$B$5:$B$193, 0)) = "Alignment", INDEX('NZS O&amp;G and CA100'!$E$5:$N$193, MATCH('Company Scorecard - select'!$A103, 'NZS O&amp;G and CA100'!$B$5:$B$193, 0),MATCH('Company Scorecard - select'!$C$5, 'NZS O&amp;G and CA100'!$E$3:$N$3, 0)),"")</f>
        <v>0</v>
      </c>
      <c r="I103" s="279"/>
      <c r="J103" s="281" t="str">
        <f>IF(OR(INDEX('NZS O&amp;G and CA100'!$D$5:$D$193, MATCH('Company Scorecard - select'!$A103, 'NZS O&amp;G and CA100'!$B$5:$B$193, 0)) = "Climate Solutions", INDEX('NZS O&amp;G and CA100'!$D$5:$D$193, MATCH('Company Scorecard - select'!$A103, 'NZS O&amp;G and CA100'!$B$5:$B$193, 0)) = "Solutions (Al)"), INDEX('NZS O&amp;G and CA100'!$E$5:$N$193, MATCH('Company Scorecard - select'!$A103, 'NZS O&amp;G and CA100'!$B$5:$B$193, 0),MATCH('Company Scorecard - select'!$C$5, 'NZS O&amp;G and CA100'!$E$3:$N$3, 0)),"")</f>
        <v/>
      </c>
      <c r="K103" s="22" t="s">
        <v>76</v>
      </c>
      <c r="L103" s="294"/>
      <c r="M103" s="22" t="s">
        <v>76</v>
      </c>
      <c r="N103" s="22" t="s">
        <v>76</v>
      </c>
      <c r="DQ103" s="24"/>
      <c r="DR103" s="24"/>
      <c r="DS103" s="24"/>
    </row>
    <row r="104" spans="1:123" s="22" customFormat="1" ht="15" customHeight="1" outlineLevel="2">
      <c r="A104" s="298" t="str">
        <f t="shared" si="6"/>
        <v>5.v.k</v>
      </c>
      <c r="B104" s="33"/>
      <c r="C104" s="97" t="s">
        <v>155</v>
      </c>
      <c r="D104" s="92" t="s">
        <v>70</v>
      </c>
      <c r="F104" s="280" t="str">
        <f>IF(INDEX('NZS O&amp;G and CA100'!$D$5:$D$193, MATCH('Company Scorecard - select'!$A104, 'NZS O&amp;G and CA100'!$B$5:$B$193, 0)) = "Disclosure", INDEX('NZS O&amp;G and CA100'!$E$5:$N$193, MATCH('Company Scorecard - select'!$A104, 'NZS O&amp;G and CA100'!$B$5:$B$193, 0),MATCH('Company Scorecard - select'!$C$5, 'NZS O&amp;G and CA100'!$E$3:$N$3, 0)),"")</f>
        <v/>
      </c>
      <c r="G104" s="279"/>
      <c r="H104" s="280">
        <f>IF(INDEX('NZS O&amp;G and CA100'!$D$5:$D$193, MATCH('Company Scorecard - select'!$A104, 'NZS O&amp;G and CA100'!$B$5:$B$193, 0)) = "Alignment", INDEX('NZS O&amp;G and CA100'!$E$5:$N$193, MATCH('Company Scorecard - select'!$A104, 'NZS O&amp;G and CA100'!$B$5:$B$193, 0),MATCH('Company Scorecard - select'!$C$5, 'NZS O&amp;G and CA100'!$E$3:$N$3, 0)),"")</f>
        <v>0</v>
      </c>
      <c r="I104" s="279"/>
      <c r="J104" s="281" t="str">
        <f>IF(OR(INDEX('NZS O&amp;G and CA100'!$D$5:$D$193, MATCH('Company Scorecard - select'!$A104, 'NZS O&amp;G and CA100'!$B$5:$B$193, 0)) = "Climate Solutions", INDEX('NZS O&amp;G and CA100'!$D$5:$D$193, MATCH('Company Scorecard - select'!$A104, 'NZS O&amp;G and CA100'!$B$5:$B$193, 0)) = "Solutions (Al)"), INDEX('NZS O&amp;G and CA100'!$E$5:$N$193, MATCH('Company Scorecard - select'!$A104, 'NZS O&amp;G and CA100'!$B$5:$B$193, 0),MATCH('Company Scorecard - select'!$C$5, 'NZS O&amp;G and CA100'!$E$3:$N$3, 0)),"")</f>
        <v/>
      </c>
      <c r="K104" s="22" t="s">
        <v>76</v>
      </c>
      <c r="L104" s="294"/>
      <c r="M104" s="22" t="s">
        <v>76</v>
      </c>
      <c r="N104" s="22" t="s">
        <v>76</v>
      </c>
      <c r="DQ104" s="24"/>
      <c r="DR104" s="24"/>
      <c r="DS104" s="24"/>
    </row>
    <row r="105" spans="1:123" s="22" customFormat="1" ht="15" customHeight="1" outlineLevel="2">
      <c r="A105" s="298" t="str">
        <f t="shared" si="6"/>
        <v>5.v.l</v>
      </c>
      <c r="B105" s="33"/>
      <c r="C105" s="97" t="s">
        <v>156</v>
      </c>
      <c r="D105" s="92" t="s">
        <v>70</v>
      </c>
      <c r="F105" s="280" t="str">
        <f>IF(INDEX('NZS O&amp;G and CA100'!$D$5:$D$193, MATCH('Company Scorecard - select'!$A105, 'NZS O&amp;G and CA100'!$B$5:$B$193, 0)) = "Disclosure", INDEX('NZS O&amp;G and CA100'!$E$5:$N$193, MATCH('Company Scorecard - select'!$A105, 'NZS O&amp;G and CA100'!$B$5:$B$193, 0),MATCH('Company Scorecard - select'!$C$5, 'NZS O&amp;G and CA100'!$E$3:$N$3, 0)),"")</f>
        <v/>
      </c>
      <c r="G105" s="279"/>
      <c r="H105" s="280">
        <f>IF(INDEX('NZS O&amp;G and CA100'!$D$5:$D$193, MATCH('Company Scorecard - select'!$A105, 'NZS O&amp;G and CA100'!$B$5:$B$193, 0)) = "Alignment", INDEX('NZS O&amp;G and CA100'!$E$5:$N$193, MATCH('Company Scorecard - select'!$A105, 'NZS O&amp;G and CA100'!$B$5:$B$193, 0),MATCH('Company Scorecard - select'!$C$5, 'NZS O&amp;G and CA100'!$E$3:$N$3, 0)),"")</f>
        <v>1</v>
      </c>
      <c r="I105" s="279"/>
      <c r="J105" s="281" t="str">
        <f>IF(OR(INDEX('NZS O&amp;G and CA100'!$D$5:$D$193, MATCH('Company Scorecard - select'!$A105, 'NZS O&amp;G and CA100'!$B$5:$B$193, 0)) = "Climate Solutions", INDEX('NZS O&amp;G and CA100'!$D$5:$D$193, MATCH('Company Scorecard - select'!$A105, 'NZS O&amp;G and CA100'!$B$5:$B$193, 0)) = "Solutions (Al)"), INDEX('NZS O&amp;G and CA100'!$E$5:$N$193, MATCH('Company Scorecard - select'!$A105, 'NZS O&amp;G and CA100'!$B$5:$B$193, 0),MATCH('Company Scorecard - select'!$C$5, 'NZS O&amp;G and CA100'!$E$3:$N$3, 0)),"")</f>
        <v/>
      </c>
      <c r="K105" s="22" t="s">
        <v>76</v>
      </c>
      <c r="L105" s="294"/>
      <c r="M105" s="22" t="s">
        <v>76</v>
      </c>
      <c r="N105" s="22" t="s">
        <v>76</v>
      </c>
      <c r="DQ105" s="24"/>
      <c r="DR105" s="24"/>
      <c r="DS105" s="24"/>
    </row>
    <row r="106" spans="1:123" s="22" customFormat="1" ht="15" customHeight="1" outlineLevel="2">
      <c r="A106" s="298" t="str">
        <f t="shared" si="6"/>
        <v>5.v.m</v>
      </c>
      <c r="B106" s="33"/>
      <c r="C106" s="97" t="s">
        <v>157</v>
      </c>
      <c r="D106" s="92" t="s">
        <v>70</v>
      </c>
      <c r="F106" s="280" t="str">
        <f>IF(INDEX('NZS O&amp;G and CA100'!$D$5:$D$193, MATCH('Company Scorecard - select'!$A106, 'NZS O&amp;G and CA100'!$B$5:$B$193, 0)) = "Disclosure", INDEX('NZS O&amp;G and CA100'!$E$5:$N$193, MATCH('Company Scorecard - select'!$A106, 'NZS O&amp;G and CA100'!$B$5:$B$193, 0),MATCH('Company Scorecard - select'!$C$5, 'NZS O&amp;G and CA100'!$E$3:$N$3, 0)),"")</f>
        <v/>
      </c>
      <c r="G106" s="279"/>
      <c r="H106" s="280" t="str">
        <f>IF(INDEX('NZS O&amp;G and CA100'!$D$5:$D$193, MATCH('Company Scorecard - select'!$A106, 'NZS O&amp;G and CA100'!$B$5:$B$193, 0)) = "Alignment", INDEX('NZS O&amp;G and CA100'!$E$5:$N$193, MATCH('Company Scorecard - select'!$A106, 'NZS O&amp;G and CA100'!$B$5:$B$193, 0),MATCH('Company Scorecard - select'!$C$5, 'NZS O&amp;G and CA100'!$E$3:$N$3, 0)),"")</f>
        <v>Not Applicable</v>
      </c>
      <c r="I106" s="279"/>
      <c r="J106" s="281" t="str">
        <f>IF(OR(INDEX('NZS O&amp;G and CA100'!$D$5:$D$193, MATCH('Company Scorecard - select'!$A106, 'NZS O&amp;G and CA100'!$B$5:$B$193, 0)) = "Climate Solutions", INDEX('NZS O&amp;G and CA100'!$D$5:$D$193, MATCH('Company Scorecard - select'!$A106, 'NZS O&amp;G and CA100'!$B$5:$B$193, 0)) = "Solutions (Al)"), INDEX('NZS O&amp;G and CA100'!$E$5:$N$193, MATCH('Company Scorecard - select'!$A106, 'NZS O&amp;G and CA100'!$B$5:$B$193, 0),MATCH('Company Scorecard - select'!$C$5, 'NZS O&amp;G and CA100'!$E$3:$N$3, 0)),"")</f>
        <v/>
      </c>
      <c r="K106" s="22" t="s">
        <v>76</v>
      </c>
      <c r="L106" s="294"/>
      <c r="M106" s="22" t="s">
        <v>76</v>
      </c>
      <c r="N106" s="22" t="s">
        <v>76</v>
      </c>
      <c r="DQ106" s="24"/>
      <c r="DR106" s="24"/>
      <c r="DS106" s="24"/>
    </row>
    <row r="107" spans="1:123" s="22" customFormat="1" ht="15" customHeight="1" outlineLevel="2">
      <c r="A107" s="298" t="str">
        <f t="shared" si="6"/>
        <v>5.v.n</v>
      </c>
      <c r="B107" s="33"/>
      <c r="C107" s="97" t="s">
        <v>158</v>
      </c>
      <c r="D107" s="92" t="s">
        <v>70</v>
      </c>
      <c r="F107" s="280">
        <f>IF(INDEX('NZS O&amp;G and CA100'!$D$5:$D$193, MATCH('Company Scorecard - select'!$A107, 'NZS O&amp;G and CA100'!$B$5:$B$193, 0)) = "Disclosure", INDEX('NZS O&amp;G and CA100'!$E$5:$N$193, MATCH('Company Scorecard - select'!$A107, 'NZS O&amp;G and CA100'!$B$5:$B$193, 0),MATCH('Company Scorecard - select'!$C$5, 'NZS O&amp;G and CA100'!$E$3:$N$3, 0)),"")</f>
        <v>0</v>
      </c>
      <c r="G107" s="279"/>
      <c r="H107" s="280" t="str">
        <f>IF(INDEX('NZS O&amp;G and CA100'!$D$5:$D$193, MATCH('Company Scorecard - select'!$A107, 'NZS O&amp;G and CA100'!$B$5:$B$193, 0)) = "Alignment", INDEX('NZS O&amp;G and CA100'!$E$5:$N$193, MATCH('Company Scorecard - select'!$A107, 'NZS O&amp;G and CA100'!$B$5:$B$193, 0),MATCH('Company Scorecard - select'!$C$5, 'NZS O&amp;G and CA100'!$E$3:$N$3, 0)),"")</f>
        <v/>
      </c>
      <c r="I107" s="279"/>
      <c r="J107" s="281" t="str">
        <f>IF(OR(INDEX('NZS O&amp;G and CA100'!$D$5:$D$193, MATCH('Company Scorecard - select'!$A107, 'NZS O&amp;G and CA100'!$B$5:$B$193, 0)) = "Climate Solutions", INDEX('NZS O&amp;G and CA100'!$D$5:$D$193, MATCH('Company Scorecard - select'!$A107, 'NZS O&amp;G and CA100'!$B$5:$B$193, 0)) = "Solutions (Al)"), INDEX('NZS O&amp;G and CA100'!$E$5:$N$193, MATCH('Company Scorecard - select'!$A107, 'NZS O&amp;G and CA100'!$B$5:$B$193, 0),MATCH('Company Scorecard - select'!$C$5, 'NZS O&amp;G and CA100'!$E$3:$N$3, 0)),"")</f>
        <v/>
      </c>
      <c r="K107" s="22" t="s">
        <v>76</v>
      </c>
      <c r="L107" s="294"/>
      <c r="M107" s="22" t="s">
        <v>76</v>
      </c>
      <c r="N107" s="22" t="s">
        <v>76</v>
      </c>
      <c r="DQ107" s="24"/>
      <c r="DR107" s="24"/>
      <c r="DS107" s="24"/>
    </row>
    <row r="108" spans="1:123" s="22" customFormat="1" ht="15" customHeight="1" outlineLevel="2">
      <c r="A108" s="298" t="str">
        <f t="shared" si="6"/>
        <v>5.v.o</v>
      </c>
      <c r="B108" s="33"/>
      <c r="C108" s="97" t="s">
        <v>159</v>
      </c>
      <c r="D108" s="92" t="s">
        <v>70</v>
      </c>
      <c r="F108" s="280">
        <f>IF(INDEX('NZS O&amp;G and CA100'!$D$5:$D$193, MATCH('Company Scorecard - select'!$A108, 'NZS O&amp;G and CA100'!$B$5:$B$193, 0)) = "Disclosure", INDEX('NZS O&amp;G and CA100'!$E$5:$N$193, MATCH('Company Scorecard - select'!$A108, 'NZS O&amp;G and CA100'!$B$5:$B$193, 0),MATCH('Company Scorecard - select'!$C$5, 'NZS O&amp;G and CA100'!$E$3:$N$3, 0)),"")</f>
        <v>0</v>
      </c>
      <c r="G108" s="279"/>
      <c r="H108" s="280" t="str">
        <f>IF(INDEX('NZS O&amp;G and CA100'!$D$5:$D$193, MATCH('Company Scorecard - select'!$A108, 'NZS O&amp;G and CA100'!$B$5:$B$193, 0)) = "Alignment", INDEX('NZS O&amp;G and CA100'!$E$5:$N$193, MATCH('Company Scorecard - select'!$A108, 'NZS O&amp;G and CA100'!$B$5:$B$193, 0),MATCH('Company Scorecard - select'!$C$5, 'NZS O&amp;G and CA100'!$E$3:$N$3, 0)),"")</f>
        <v/>
      </c>
      <c r="I108" s="279"/>
      <c r="J108" s="281" t="str">
        <f>IF(OR(INDEX('NZS O&amp;G and CA100'!$D$5:$D$193, MATCH('Company Scorecard - select'!$A108, 'NZS O&amp;G and CA100'!$B$5:$B$193, 0)) = "Climate Solutions", INDEX('NZS O&amp;G and CA100'!$D$5:$D$193, MATCH('Company Scorecard - select'!$A108, 'NZS O&amp;G and CA100'!$B$5:$B$193, 0)) = "Solutions (Al)"), INDEX('NZS O&amp;G and CA100'!$E$5:$N$193, MATCH('Company Scorecard - select'!$A108, 'NZS O&amp;G and CA100'!$B$5:$B$193, 0),MATCH('Company Scorecard - select'!$C$5, 'NZS O&amp;G and CA100'!$E$3:$N$3, 0)),"")</f>
        <v/>
      </c>
      <c r="K108" s="22" t="s">
        <v>76</v>
      </c>
      <c r="L108" s="294"/>
      <c r="M108" s="22" t="s">
        <v>76</v>
      </c>
      <c r="N108" s="22" t="s">
        <v>76</v>
      </c>
      <c r="DQ108" s="24"/>
      <c r="DR108" s="24"/>
      <c r="DS108" s="24"/>
    </row>
    <row r="109" spans="1:123" s="22" customFormat="1" ht="15" customHeight="1" outlineLevel="2">
      <c r="A109" s="298" t="str">
        <f t="shared" si="6"/>
        <v>5.v.p</v>
      </c>
      <c r="B109" s="33"/>
      <c r="C109" s="97" t="s">
        <v>160</v>
      </c>
      <c r="D109" s="92" t="s">
        <v>70</v>
      </c>
      <c r="F109" s="280" t="str">
        <f>IF(INDEX('NZS O&amp;G and CA100'!$D$5:$D$193, MATCH('Company Scorecard - select'!$A109, 'NZS O&amp;G and CA100'!$B$5:$B$193, 0)) = "Disclosure", INDEX('NZS O&amp;G and CA100'!$E$5:$N$193, MATCH('Company Scorecard - select'!$A109, 'NZS O&amp;G and CA100'!$B$5:$B$193, 0),MATCH('Company Scorecard - select'!$C$5, 'NZS O&amp;G and CA100'!$E$3:$N$3, 0)),"")</f>
        <v/>
      </c>
      <c r="G109" s="279"/>
      <c r="H109" s="280" t="str">
        <f>IF(INDEX('NZS O&amp;G and CA100'!$D$5:$D$193, MATCH('Company Scorecard - select'!$A109, 'NZS O&amp;G and CA100'!$B$5:$B$193, 0)) = "Alignment", INDEX('NZS O&amp;G and CA100'!$E$5:$N$193, MATCH('Company Scorecard - select'!$A109, 'NZS O&amp;G and CA100'!$B$5:$B$193, 0),MATCH('Company Scorecard - select'!$C$5, 'NZS O&amp;G and CA100'!$E$3:$N$3, 0)),"")</f>
        <v>Under development</v>
      </c>
      <c r="I109" s="279"/>
      <c r="J109" s="281" t="str">
        <f>IF(OR(INDEX('NZS O&amp;G and CA100'!$D$5:$D$193, MATCH('Company Scorecard - select'!$A109, 'NZS O&amp;G and CA100'!$B$5:$B$193, 0)) = "Climate Solutions", INDEX('NZS O&amp;G and CA100'!$D$5:$D$193, MATCH('Company Scorecard - select'!$A109, 'NZS O&amp;G and CA100'!$B$5:$B$193, 0)) = "Solutions (Al)"), INDEX('NZS O&amp;G and CA100'!$E$5:$N$193, MATCH('Company Scorecard - select'!$A109, 'NZS O&amp;G and CA100'!$B$5:$B$193, 0),MATCH('Company Scorecard - select'!$C$5, 'NZS O&amp;G and CA100'!$E$3:$N$3, 0)),"")</f>
        <v/>
      </c>
      <c r="K109" s="22" t="s">
        <v>76</v>
      </c>
      <c r="L109" s="294"/>
      <c r="M109" s="22" t="s">
        <v>76</v>
      </c>
      <c r="N109" s="22" t="s">
        <v>76</v>
      </c>
      <c r="DQ109" s="24"/>
      <c r="DR109" s="24"/>
      <c r="DS109" s="24"/>
    </row>
    <row r="110" spans="1:123" s="22" customFormat="1" ht="15" customHeight="1" outlineLevel="2">
      <c r="A110" s="298" t="str">
        <f t="shared" si="6"/>
        <v>5.v.q</v>
      </c>
      <c r="B110" s="33"/>
      <c r="C110" s="97" t="s">
        <v>161</v>
      </c>
      <c r="D110" s="92" t="s">
        <v>70</v>
      </c>
      <c r="F110" s="280">
        <f>IF(INDEX('NZS O&amp;G and CA100'!$D$5:$D$193, MATCH('Company Scorecard - select'!$A110, 'NZS O&amp;G and CA100'!$B$5:$B$193, 0)) = "Disclosure", INDEX('NZS O&amp;G and CA100'!$E$5:$N$193, MATCH('Company Scorecard - select'!$A110, 'NZS O&amp;G and CA100'!$B$5:$B$193, 0),MATCH('Company Scorecard - select'!$C$5, 'NZS O&amp;G and CA100'!$E$3:$N$3, 0)),"")</f>
        <v>0</v>
      </c>
      <c r="G110" s="279"/>
      <c r="H110" s="280" t="str">
        <f>IF(INDEX('NZS O&amp;G and CA100'!$D$5:$D$193, MATCH('Company Scorecard - select'!$A110, 'NZS O&amp;G and CA100'!$B$5:$B$193, 0)) = "Alignment", INDEX('NZS O&amp;G and CA100'!$E$5:$N$193, MATCH('Company Scorecard - select'!$A110, 'NZS O&amp;G and CA100'!$B$5:$B$193, 0),MATCH('Company Scorecard - select'!$C$5, 'NZS O&amp;G and CA100'!$E$3:$N$3, 0)),"")</f>
        <v/>
      </c>
      <c r="I110" s="279"/>
      <c r="J110" s="281" t="str">
        <f>IF(OR(INDEX('NZS O&amp;G and CA100'!$D$5:$D$193, MATCH('Company Scorecard - select'!$A110, 'NZS O&amp;G and CA100'!$B$5:$B$193, 0)) = "Climate Solutions", INDEX('NZS O&amp;G and CA100'!$D$5:$D$193, MATCH('Company Scorecard - select'!$A110, 'NZS O&amp;G and CA100'!$B$5:$B$193, 0)) = "Solutions (Al)"), INDEX('NZS O&amp;G and CA100'!$E$5:$N$193, MATCH('Company Scorecard - select'!$A110, 'NZS O&amp;G and CA100'!$B$5:$B$193, 0),MATCH('Company Scorecard - select'!$C$5, 'NZS O&amp;G and CA100'!$E$3:$N$3, 0)),"")</f>
        <v/>
      </c>
      <c r="K110" s="22" t="s">
        <v>76</v>
      </c>
      <c r="L110" s="294"/>
      <c r="M110" s="22" t="s">
        <v>76</v>
      </c>
      <c r="N110" s="22" t="s">
        <v>76</v>
      </c>
      <c r="DQ110" s="24"/>
      <c r="DR110" s="24"/>
      <c r="DS110" s="24"/>
    </row>
    <row r="111" spans="1:123" s="22" customFormat="1" ht="15" customHeight="1" outlineLevel="2">
      <c r="A111" s="298" t="str">
        <f t="shared" si="6"/>
        <v>5.v.r</v>
      </c>
      <c r="B111" s="33"/>
      <c r="C111" s="97" t="s">
        <v>162</v>
      </c>
      <c r="D111" s="92" t="s">
        <v>70</v>
      </c>
      <c r="F111" s="280" t="str">
        <f>IF(INDEX('NZS O&amp;G and CA100'!$D$5:$D$193, MATCH('Company Scorecard - select'!$A111, 'NZS O&amp;G and CA100'!$B$5:$B$193, 0)) = "Disclosure", INDEX('NZS O&amp;G and CA100'!$E$5:$N$193, MATCH('Company Scorecard - select'!$A111, 'NZS O&amp;G and CA100'!$B$5:$B$193, 0),MATCH('Company Scorecard - select'!$C$5, 'NZS O&amp;G and CA100'!$E$3:$N$3, 0)),"")</f>
        <v/>
      </c>
      <c r="G111" s="279"/>
      <c r="H111" s="280" t="str">
        <f>IF(INDEX('NZS O&amp;G and CA100'!$D$5:$D$193, MATCH('Company Scorecard - select'!$A111, 'NZS O&amp;G and CA100'!$B$5:$B$193, 0)) = "Alignment", INDEX('NZS O&amp;G and CA100'!$E$5:$N$193, MATCH('Company Scorecard - select'!$A111, 'NZS O&amp;G and CA100'!$B$5:$B$193, 0),MATCH('Company Scorecard - select'!$C$5, 'NZS O&amp;G and CA100'!$E$3:$N$3, 0)),"")</f>
        <v>Under development</v>
      </c>
      <c r="I111" s="279"/>
      <c r="J111" s="281" t="str">
        <f>IF(OR(INDEX('NZS O&amp;G and CA100'!$D$5:$D$193, MATCH('Company Scorecard - select'!$A111, 'NZS O&amp;G and CA100'!$B$5:$B$193, 0)) = "Climate Solutions", INDEX('NZS O&amp;G and CA100'!$D$5:$D$193, MATCH('Company Scorecard - select'!$A111, 'NZS O&amp;G and CA100'!$B$5:$B$193, 0)) = "Solutions (Al)"), INDEX('NZS O&amp;G and CA100'!$E$5:$N$193, MATCH('Company Scorecard - select'!$A111, 'NZS O&amp;G and CA100'!$B$5:$B$193, 0),MATCH('Company Scorecard - select'!$C$5, 'NZS O&amp;G and CA100'!$E$3:$N$3, 0)),"")</f>
        <v/>
      </c>
      <c r="L111" s="294"/>
      <c r="N111" s="22" t="s">
        <v>76</v>
      </c>
      <c r="DQ111" s="24"/>
      <c r="DR111" s="24"/>
      <c r="DS111" s="24"/>
    </row>
    <row r="112" spans="1:123" s="22" customFormat="1" ht="13" customHeight="1" outlineLevel="1">
      <c r="A112" s="296"/>
      <c r="B112" s="33"/>
      <c r="C112" s="123" t="s">
        <v>81</v>
      </c>
      <c r="D112" s="22" t="s">
        <v>70</v>
      </c>
      <c r="F112" s="279"/>
      <c r="G112" s="279"/>
      <c r="H112" s="279"/>
      <c r="I112" s="279"/>
      <c r="J112" s="285"/>
      <c r="L112" s="294"/>
      <c r="N112" s="22" t="s">
        <v>76</v>
      </c>
      <c r="DQ112" s="24"/>
      <c r="DR112" s="24"/>
      <c r="DS112" s="24"/>
    </row>
    <row r="113" spans="1:123" s="22" customFormat="1" ht="4.5" customHeight="1" thickBot="1">
      <c r="A113" s="296"/>
      <c r="B113" s="109"/>
      <c r="C113" s="75"/>
      <c r="D113" s="28"/>
      <c r="E113" s="28"/>
      <c r="F113" s="287"/>
      <c r="G113" s="287"/>
      <c r="H113" s="287"/>
      <c r="I113" s="287"/>
      <c r="J113" s="283"/>
      <c r="K113" s="28"/>
      <c r="L113" s="295"/>
      <c r="DQ113" s="24"/>
      <c r="DR113" s="24"/>
      <c r="DS113" s="24"/>
    </row>
    <row r="114" spans="1:123" ht="7.5" customHeight="1">
      <c r="A114" s="296"/>
      <c r="B114" s="274"/>
      <c r="C114" s="275"/>
      <c r="D114" s="89" t="s">
        <v>70</v>
      </c>
      <c r="E114" s="89"/>
      <c r="F114" s="288"/>
      <c r="G114" s="288"/>
      <c r="H114" s="288"/>
      <c r="I114" s="288"/>
      <c r="J114" s="289"/>
      <c r="K114" s="89"/>
      <c r="L114" s="293"/>
      <c r="N114" s="22" t="s">
        <v>76</v>
      </c>
      <c r="O114" s="22"/>
    </row>
    <row r="115" spans="1:123" s="22" customFormat="1" ht="15" customHeight="1">
      <c r="A115" s="297">
        <v>6</v>
      </c>
      <c r="B115" s="32"/>
      <c r="C115" s="101" t="s">
        <v>163</v>
      </c>
      <c r="D115" s="92" t="s">
        <v>69</v>
      </c>
      <c r="F115" s="278">
        <f>SUM(F117,F129,F141)/COUNT(F117,F129,F141)</f>
        <v>0.22222222222222221</v>
      </c>
      <c r="G115" s="279"/>
      <c r="H115" s="278" t="str">
        <f>H117</f>
        <v>Under development</v>
      </c>
      <c r="I115" s="279"/>
      <c r="J115" s="278">
        <f>J129</f>
        <v>0.8</v>
      </c>
      <c r="L115" s="294"/>
      <c r="N115" s="22" t="s">
        <v>76</v>
      </c>
      <c r="DQ115" s="24"/>
      <c r="DR115" s="24"/>
      <c r="DS115" s="24"/>
    </row>
    <row r="116" spans="1:123" s="22" customFormat="1" ht="15" customHeight="1">
      <c r="A116" s="298"/>
      <c r="B116" s="33"/>
      <c r="C116" s="96"/>
      <c r="D116" s="94"/>
      <c r="F116" s="280"/>
      <c r="G116" s="279"/>
      <c r="H116" s="281"/>
      <c r="I116" s="279"/>
      <c r="J116" s="281"/>
      <c r="L116" s="294"/>
      <c r="N116" s="22" t="s">
        <v>76</v>
      </c>
      <c r="DQ116" s="24"/>
      <c r="DR116" s="24"/>
      <c r="DS116" s="24"/>
    </row>
    <row r="117" spans="1:123" s="22" customFormat="1" ht="15" customHeight="1" outlineLevel="1">
      <c r="A117" s="297">
        <v>6.1</v>
      </c>
      <c r="B117" s="33"/>
      <c r="C117" s="96" t="s">
        <v>164</v>
      </c>
      <c r="D117" s="94" t="s">
        <v>69</v>
      </c>
      <c r="E117" s="26"/>
      <c r="F117" s="280">
        <f>SUM(F118,F119,F120,F121,F122,F123,F124,F125,F127)/COUNT(F118,F119,F120,F121,F122,F123,F124,F125,F127)</f>
        <v>0.44444444444444442</v>
      </c>
      <c r="G117" s="279"/>
      <c r="H117" s="281" t="str">
        <f>IF(AND(H126="under development",H128="under development"),"Under development",(AVERAGE(H126,H128)))</f>
        <v>Under development</v>
      </c>
      <c r="I117" s="279"/>
      <c r="J117" s="281" t="str">
        <f>IF(OR(INDEX('NZS O&amp;G and CA100'!$D$5:$D$193, MATCH('Company Scorecard - select'!$A117, 'NZS O&amp;G and CA100'!$B$5:$B$193, 0)) = "Climate Solutions", INDEX('NZS O&amp;G and CA100'!$D$5:$D$193, MATCH('Company Scorecard - select'!$A117, 'NZS O&amp;G and CA100'!$B$5:$B$193, 0)) = "Solutions (Al)"), INDEX('NZS O&amp;G and CA100'!$E$5:$N$193, MATCH('Company Scorecard - select'!$A117, 'NZS O&amp;G and CA100'!$B$5:$B$193, 0),MATCH('Company Scorecard - select'!$C$5, 'NZS O&amp;G and CA100'!$E$3:$N$3, 0)),"")</f>
        <v/>
      </c>
      <c r="K117" s="26"/>
      <c r="L117" s="294"/>
      <c r="M117" s="26"/>
      <c r="N117" s="22" t="s">
        <v>76</v>
      </c>
      <c r="DQ117" s="24"/>
      <c r="DR117" s="24"/>
      <c r="DS117" s="24"/>
    </row>
    <row r="118" spans="1:123" s="22" customFormat="1" ht="15" customHeight="1" outlineLevel="2">
      <c r="A118" s="298" t="str">
        <f>LEFT(C118,FIND(":",C118)-1)</f>
        <v>6.1.a</v>
      </c>
      <c r="B118" s="33"/>
      <c r="C118" s="99" t="s">
        <v>165</v>
      </c>
      <c r="D118" s="94" t="s">
        <v>69</v>
      </c>
      <c r="F118" s="280">
        <f>IF(INDEX('NZS O&amp;G and CA100'!$D$5:$D$193, MATCH('Company Scorecard - select'!$A118, 'NZS O&amp;G and CA100'!$B$5:$B$193, 0)) = "Disclosure", INDEX('NZS O&amp;G and CA100'!$E$5:$N$193, MATCH('Company Scorecard - select'!$A118, 'NZS O&amp;G and CA100'!$B$5:$B$193, 0),MATCH('Company Scorecard - select'!$C$5, 'NZS O&amp;G and CA100'!$E$3:$N$3, 0)),"N/A")</f>
        <v>1</v>
      </c>
      <c r="G118" s="279"/>
      <c r="H118" s="281" t="str">
        <f>IF(OR(INDEX('NZS O&amp;G and CA100'!$D$5:$D$193, MATCH('Company Scorecard - select'!$A118, 'NZS O&amp;G and CA100'!$B$5:$B$193, 0)) = "Alignment", INDEX('NZS O&amp;G and CA100'!$D$5:$D$193, MATCH('Company Scorecard - select'!$A118, 'NZS O&amp;G and CA100'!$B$5:$B$193, 0)) = "Solutions (Al)"), INDEX('NZS O&amp;G and CA100'!$E$5:$N$193, MATCH('Company Scorecard - select'!$A118, 'NZS O&amp;G and CA100'!$B$5:$B$193, 0),MATCH('Company Scorecard - select'!$C$5, 'NZS O&amp;G and CA100'!$E$3:$N$3, 0)),"")</f>
        <v/>
      </c>
      <c r="I118" s="279"/>
      <c r="J118" s="281" t="str">
        <f>IF(OR(INDEX('NZS O&amp;G and CA100'!$D$5:$D$193, MATCH('Company Scorecard - select'!$A118, 'NZS O&amp;G and CA100'!$B$5:$B$193, 0)) = "Climate Solutions", INDEX('NZS O&amp;G and CA100'!$D$5:$D$193, MATCH('Company Scorecard - select'!$A118, 'NZS O&amp;G and CA100'!$B$5:$B$193, 0)) = "Solutions (Al)"), INDEX('NZS O&amp;G and CA100'!$E$5:$N$193, MATCH('Company Scorecard - select'!$A118, 'NZS O&amp;G and CA100'!$B$5:$B$193, 0),MATCH('Company Scorecard - select'!$C$5, 'NZS O&amp;G and CA100'!$E$3:$N$3, 0)),"")</f>
        <v/>
      </c>
      <c r="L118" s="294"/>
      <c r="N118" s="22" t="s">
        <v>76</v>
      </c>
      <c r="DQ118" s="24"/>
      <c r="DR118" s="24"/>
      <c r="DS118" s="24"/>
    </row>
    <row r="119" spans="1:123" s="22" customFormat="1" ht="15" customHeight="1" outlineLevel="2">
      <c r="A119" s="298" t="str">
        <f>LEFT(C119,FIND(":",C119)-1)</f>
        <v>6.1.b</v>
      </c>
      <c r="B119" s="33"/>
      <c r="C119" s="99" t="s">
        <v>166</v>
      </c>
      <c r="D119" s="94" t="s">
        <v>69</v>
      </c>
      <c r="F119" s="280">
        <f>IF(INDEX('NZS O&amp;G and CA100'!$D$5:$D$193, MATCH('Company Scorecard - select'!$A119, 'NZS O&amp;G and CA100'!$B$5:$B$193, 0)) = "Disclosure", INDEX('NZS O&amp;G and CA100'!$E$5:$N$193, MATCH('Company Scorecard - select'!$A119, 'NZS O&amp;G and CA100'!$B$5:$B$193, 0),MATCH('Company Scorecard - select'!$C$5, 'NZS O&amp;G and CA100'!$E$3:$N$3, 0)),"N/A")</f>
        <v>1</v>
      </c>
      <c r="G119" s="279"/>
      <c r="H119" s="281" t="str">
        <f>IF(OR(INDEX('NZS O&amp;G and CA100'!$D$5:$D$193, MATCH('Company Scorecard - select'!$A119, 'NZS O&amp;G and CA100'!$B$5:$B$193, 0)) = "Alignment", INDEX('NZS O&amp;G and CA100'!$D$5:$D$193, MATCH('Company Scorecard - select'!$A119, 'NZS O&amp;G and CA100'!$B$5:$B$193, 0)) = "Solutions (Al)"), INDEX('NZS O&amp;G and CA100'!$E$5:$N$193, MATCH('Company Scorecard - select'!$A119, 'NZS O&amp;G and CA100'!$B$5:$B$193, 0),MATCH('Company Scorecard - select'!$C$5, 'NZS O&amp;G and CA100'!$E$3:$N$3, 0)),"")</f>
        <v/>
      </c>
      <c r="I119" s="279"/>
      <c r="J119" s="281" t="str">
        <f>IF(OR(INDEX('NZS O&amp;G and CA100'!$D$5:$D$193, MATCH('Company Scorecard - select'!$A119, 'NZS O&amp;G and CA100'!$B$5:$B$193, 0)) = "Climate Solutions", INDEX('NZS O&amp;G and CA100'!$D$5:$D$193, MATCH('Company Scorecard - select'!$A119, 'NZS O&amp;G and CA100'!$B$5:$B$193, 0)) = "Solutions (Al)"), INDEX('NZS O&amp;G and CA100'!$E$5:$N$193, MATCH('Company Scorecard - select'!$A119, 'NZS O&amp;G and CA100'!$B$5:$B$193, 0),MATCH('Company Scorecard - select'!$C$5, 'NZS O&amp;G and CA100'!$E$3:$N$3, 0)),"")</f>
        <v/>
      </c>
      <c r="K119" s="22" t="s">
        <v>76</v>
      </c>
      <c r="L119" s="294"/>
      <c r="N119" s="22" t="s">
        <v>76</v>
      </c>
      <c r="DQ119" s="24"/>
      <c r="DR119" s="24"/>
      <c r="DS119" s="24"/>
    </row>
    <row r="120" spans="1:123" s="22" customFormat="1" ht="15" customHeight="1" outlineLevel="2">
      <c r="A120" s="298" t="str">
        <f t="shared" ref="A120:A128" si="7">LEFT(C120,FIND(":",C120)-1)</f>
        <v>6.i.a</v>
      </c>
      <c r="B120" s="37"/>
      <c r="C120" s="97" t="s">
        <v>167</v>
      </c>
      <c r="D120" s="94" t="s">
        <v>70</v>
      </c>
      <c r="F120" s="280">
        <f>IF(INDEX('NZS O&amp;G and CA100'!$D$5:$D$193, MATCH('Company Scorecard - select'!$A120, 'NZS O&amp;G and CA100'!$B$5:$B$193, 0)) = "Disclosure", INDEX('NZS O&amp;G and CA100'!$E$5:$N$193, MATCH('Company Scorecard - select'!$A120, 'NZS O&amp;G and CA100'!$B$5:$B$193, 0),MATCH('Company Scorecard - select'!$C$5, 'NZS O&amp;G and CA100'!$E$3:$N$3, 0)),"")</f>
        <v>1</v>
      </c>
      <c r="G120" s="279"/>
      <c r="H120" s="280" t="str">
        <f>IF(INDEX('NZS O&amp;G and CA100'!$D$5:$D$193, MATCH('Company Scorecard - select'!$A120, 'NZS O&amp;G and CA100'!$B$5:$B$193, 0)) = "Alignment", INDEX('NZS O&amp;G and CA100'!$E$5:$N$193, MATCH('Company Scorecard - select'!$A120, 'NZS O&amp;G and CA100'!$B$5:$B$193, 0),MATCH('Company Scorecard - select'!$C$5, 'NZS O&amp;G and CA100'!$E$3:$N$3, 0)),"")</f>
        <v/>
      </c>
      <c r="I120" s="279"/>
      <c r="J120" s="281" t="str">
        <f>IF(OR(INDEX('NZS O&amp;G and CA100'!$D$5:$D$193, MATCH('Company Scorecard - select'!$A120, 'NZS O&amp;G and CA100'!$B$5:$B$193, 0)) = "Climate Solutions", INDEX('NZS O&amp;G and CA100'!$D$5:$D$193, MATCH('Company Scorecard - select'!$A120, 'NZS O&amp;G and CA100'!$B$5:$B$193, 0)) = "Solutions (Al)"), INDEX('NZS O&amp;G and CA100'!$E$5:$N$193, MATCH('Company Scorecard - select'!$A120, 'NZS O&amp;G and CA100'!$B$5:$B$193, 0),MATCH('Company Scorecard - select'!$C$5, 'NZS O&amp;G and CA100'!$E$3:$N$3, 0)),"")</f>
        <v/>
      </c>
      <c r="K120" s="22" t="s">
        <v>76</v>
      </c>
      <c r="L120" s="294"/>
      <c r="M120" s="26" t="s">
        <v>76</v>
      </c>
      <c r="N120" s="22" t="s">
        <v>76</v>
      </c>
      <c r="DQ120" s="24"/>
      <c r="DR120" s="24"/>
      <c r="DS120" s="24"/>
    </row>
    <row r="121" spans="1:123" s="22" customFormat="1" ht="15" customHeight="1" outlineLevel="2">
      <c r="A121" s="298" t="str">
        <f t="shared" si="7"/>
        <v>6.i.b</v>
      </c>
      <c r="B121" s="37"/>
      <c r="C121" s="97" t="s">
        <v>168</v>
      </c>
      <c r="D121" s="94" t="s">
        <v>70</v>
      </c>
      <c r="F121" s="280">
        <f>IF(INDEX('NZS O&amp;G and CA100'!$D$5:$D$193, MATCH('Company Scorecard - select'!$A121, 'NZS O&amp;G and CA100'!$B$5:$B$193, 0)) = "Disclosure", INDEX('NZS O&amp;G and CA100'!$E$5:$N$193, MATCH('Company Scorecard - select'!$A121, 'NZS O&amp;G and CA100'!$B$5:$B$193, 0),MATCH('Company Scorecard - select'!$C$5, 'NZS O&amp;G and CA100'!$E$3:$N$3, 0)),"")</f>
        <v>1</v>
      </c>
      <c r="G121" s="279"/>
      <c r="H121" s="280" t="str">
        <f>IF(INDEX('NZS O&amp;G and CA100'!$D$5:$D$193, MATCH('Company Scorecard - select'!$A121, 'NZS O&amp;G and CA100'!$B$5:$B$193, 0)) = "Alignment", INDEX('NZS O&amp;G and CA100'!$E$5:$N$193, MATCH('Company Scorecard - select'!$A121, 'NZS O&amp;G and CA100'!$B$5:$B$193, 0),MATCH('Company Scorecard - select'!$C$5, 'NZS O&amp;G and CA100'!$E$3:$N$3, 0)),"")</f>
        <v/>
      </c>
      <c r="I121" s="279"/>
      <c r="J121" s="281" t="str">
        <f>IF(OR(INDEX('NZS O&amp;G and CA100'!$D$5:$D$193, MATCH('Company Scorecard - select'!$A121, 'NZS O&amp;G and CA100'!$B$5:$B$193, 0)) = "Climate Solutions", INDEX('NZS O&amp;G and CA100'!$D$5:$D$193, MATCH('Company Scorecard - select'!$A121, 'NZS O&amp;G and CA100'!$B$5:$B$193, 0)) = "Solutions (Al)"), INDEX('NZS O&amp;G and CA100'!$E$5:$N$193, MATCH('Company Scorecard - select'!$A121, 'NZS O&amp;G and CA100'!$B$5:$B$193, 0),MATCH('Company Scorecard - select'!$C$5, 'NZS O&amp;G and CA100'!$E$3:$N$3, 0)),"")</f>
        <v/>
      </c>
      <c r="K121" s="22" t="s">
        <v>76</v>
      </c>
      <c r="L121" s="294"/>
      <c r="M121" s="26" t="s">
        <v>76</v>
      </c>
      <c r="N121" s="22" t="s">
        <v>76</v>
      </c>
      <c r="DQ121" s="24"/>
      <c r="DR121" s="24"/>
      <c r="DS121" s="24"/>
    </row>
    <row r="122" spans="1:123" s="22" customFormat="1" ht="15" customHeight="1" outlineLevel="2">
      <c r="A122" s="298" t="str">
        <f t="shared" si="7"/>
        <v>6.i.c</v>
      </c>
      <c r="B122" s="37"/>
      <c r="C122" s="97" t="s">
        <v>169</v>
      </c>
      <c r="D122" s="94" t="s">
        <v>70</v>
      </c>
      <c r="F122" s="280">
        <f>IF(INDEX('NZS O&amp;G and CA100'!$D$5:$D$193, MATCH('Company Scorecard - select'!$A122, 'NZS O&amp;G and CA100'!$B$5:$B$193, 0)) = "Disclosure", INDEX('NZS O&amp;G and CA100'!$E$5:$N$193, MATCH('Company Scorecard - select'!$A122, 'NZS O&amp;G and CA100'!$B$5:$B$193, 0),MATCH('Company Scorecard - select'!$C$5, 'NZS O&amp;G and CA100'!$E$3:$N$3, 0)),"")</f>
        <v>0</v>
      </c>
      <c r="G122" s="279"/>
      <c r="H122" s="280" t="str">
        <f>IF(INDEX('NZS O&amp;G and CA100'!$D$5:$D$193, MATCH('Company Scorecard - select'!$A122, 'NZS O&amp;G and CA100'!$B$5:$B$193, 0)) = "Alignment", INDEX('NZS O&amp;G and CA100'!$E$5:$N$193, MATCH('Company Scorecard - select'!$A122, 'NZS O&amp;G and CA100'!$B$5:$B$193, 0),MATCH('Company Scorecard - select'!$C$5, 'NZS O&amp;G and CA100'!$E$3:$N$3, 0)),"")</f>
        <v/>
      </c>
      <c r="I122" s="279"/>
      <c r="J122" s="281" t="str">
        <f>IF(OR(INDEX('NZS O&amp;G and CA100'!$D$5:$D$193, MATCH('Company Scorecard - select'!$A122, 'NZS O&amp;G and CA100'!$B$5:$B$193, 0)) = "Climate Solutions", INDEX('NZS O&amp;G and CA100'!$D$5:$D$193, MATCH('Company Scorecard - select'!$A122, 'NZS O&amp;G and CA100'!$B$5:$B$193, 0)) = "Solutions (Al)"), INDEX('NZS O&amp;G and CA100'!$E$5:$N$193, MATCH('Company Scorecard - select'!$A122, 'NZS O&amp;G and CA100'!$B$5:$B$193, 0),MATCH('Company Scorecard - select'!$C$5, 'NZS O&amp;G and CA100'!$E$3:$N$3, 0)),"")</f>
        <v/>
      </c>
      <c r="K122" s="22" t="s">
        <v>76</v>
      </c>
      <c r="L122" s="294"/>
      <c r="M122" s="26" t="s">
        <v>76</v>
      </c>
      <c r="N122" s="22" t="s">
        <v>76</v>
      </c>
      <c r="DQ122" s="24"/>
      <c r="DR122" s="24"/>
      <c r="DS122" s="24"/>
    </row>
    <row r="123" spans="1:123" s="22" customFormat="1" ht="15" customHeight="1" outlineLevel="2">
      <c r="A123" s="298" t="str">
        <f t="shared" si="7"/>
        <v>6.i.d</v>
      </c>
      <c r="B123" s="37"/>
      <c r="C123" s="97" t="s">
        <v>170</v>
      </c>
      <c r="D123" s="94" t="s">
        <v>70</v>
      </c>
      <c r="F123" s="280">
        <f>IF(INDEX('NZS O&amp;G and CA100'!$D$5:$D$193, MATCH('Company Scorecard - select'!$A123, 'NZS O&amp;G and CA100'!$B$5:$B$193, 0)) = "Disclosure", INDEX('NZS O&amp;G and CA100'!$E$5:$N$193, MATCH('Company Scorecard - select'!$A123, 'NZS O&amp;G and CA100'!$B$5:$B$193, 0),MATCH('Company Scorecard - select'!$C$5, 'NZS O&amp;G and CA100'!$E$3:$N$3, 0)),"")</f>
        <v>0</v>
      </c>
      <c r="G123" s="279"/>
      <c r="H123" s="280" t="str">
        <f>IF(INDEX('NZS O&amp;G and CA100'!$D$5:$D$193, MATCH('Company Scorecard - select'!$A123, 'NZS O&amp;G and CA100'!$B$5:$B$193, 0)) = "Alignment", INDEX('NZS O&amp;G and CA100'!$E$5:$N$193, MATCH('Company Scorecard - select'!$A123, 'NZS O&amp;G and CA100'!$B$5:$B$193, 0),MATCH('Company Scorecard - select'!$C$5, 'NZS O&amp;G and CA100'!$E$3:$N$3, 0)),"")</f>
        <v/>
      </c>
      <c r="I123" s="279"/>
      <c r="J123" s="281" t="str">
        <f>IF(OR(INDEX('NZS O&amp;G and CA100'!$D$5:$D$193, MATCH('Company Scorecard - select'!$A123, 'NZS O&amp;G and CA100'!$B$5:$B$193, 0)) = "Climate Solutions", INDEX('NZS O&amp;G and CA100'!$D$5:$D$193, MATCH('Company Scorecard - select'!$A123, 'NZS O&amp;G and CA100'!$B$5:$B$193, 0)) = "Solutions (Al)"), INDEX('NZS O&amp;G and CA100'!$E$5:$N$193, MATCH('Company Scorecard - select'!$A123, 'NZS O&amp;G and CA100'!$B$5:$B$193, 0),MATCH('Company Scorecard - select'!$C$5, 'NZS O&amp;G and CA100'!$E$3:$N$3, 0)),"")</f>
        <v/>
      </c>
      <c r="K123" s="22" t="s">
        <v>76</v>
      </c>
      <c r="L123" s="294"/>
      <c r="M123" s="26" t="s">
        <v>76</v>
      </c>
      <c r="N123" s="22" t="s">
        <v>76</v>
      </c>
      <c r="DQ123" s="24"/>
      <c r="DR123" s="24"/>
      <c r="DS123" s="24"/>
    </row>
    <row r="124" spans="1:123" s="22" customFormat="1" ht="15" customHeight="1" outlineLevel="2">
      <c r="A124" s="298" t="str">
        <f t="shared" si="7"/>
        <v>6.i.e</v>
      </c>
      <c r="B124" s="37"/>
      <c r="C124" s="97" t="s">
        <v>171</v>
      </c>
      <c r="D124" s="94" t="s">
        <v>70</v>
      </c>
      <c r="F124" s="280">
        <f>IF(INDEX('NZS O&amp;G and CA100'!$D$5:$D$193, MATCH('Company Scorecard - select'!$A124, 'NZS O&amp;G and CA100'!$B$5:$B$193, 0)) = "Disclosure", INDEX('NZS O&amp;G and CA100'!$E$5:$N$193, MATCH('Company Scorecard - select'!$A124, 'NZS O&amp;G and CA100'!$B$5:$B$193, 0),MATCH('Company Scorecard - select'!$C$5, 'NZS O&amp;G and CA100'!$E$3:$N$3, 0)),"")</f>
        <v>0</v>
      </c>
      <c r="G124" s="279"/>
      <c r="H124" s="280" t="str">
        <f>IF(INDEX('NZS O&amp;G and CA100'!$D$5:$D$193, MATCH('Company Scorecard - select'!$A124, 'NZS O&amp;G and CA100'!$B$5:$B$193, 0)) = "Alignment", INDEX('NZS O&amp;G and CA100'!$E$5:$N$193, MATCH('Company Scorecard - select'!$A124, 'NZS O&amp;G and CA100'!$B$5:$B$193, 0),MATCH('Company Scorecard - select'!$C$5, 'NZS O&amp;G and CA100'!$E$3:$N$3, 0)),"")</f>
        <v/>
      </c>
      <c r="I124" s="279"/>
      <c r="J124" s="281" t="str">
        <f>IF(OR(INDEX('NZS O&amp;G and CA100'!$D$5:$D$193, MATCH('Company Scorecard - select'!$A124, 'NZS O&amp;G and CA100'!$B$5:$B$193, 0)) = "Climate Solutions", INDEX('NZS O&amp;G and CA100'!$D$5:$D$193, MATCH('Company Scorecard - select'!$A124, 'NZS O&amp;G and CA100'!$B$5:$B$193, 0)) = "Solutions (Al)"), INDEX('NZS O&amp;G and CA100'!$E$5:$N$193, MATCH('Company Scorecard - select'!$A124, 'NZS O&amp;G and CA100'!$B$5:$B$193, 0),MATCH('Company Scorecard - select'!$C$5, 'NZS O&amp;G and CA100'!$E$3:$N$3, 0)),"")</f>
        <v/>
      </c>
      <c r="K124" s="22" t="s">
        <v>76</v>
      </c>
      <c r="L124" s="294"/>
      <c r="M124" s="26" t="s">
        <v>76</v>
      </c>
      <c r="N124" s="22" t="s">
        <v>76</v>
      </c>
      <c r="DQ124" s="24"/>
      <c r="DR124" s="24"/>
      <c r="DS124" s="24"/>
    </row>
    <row r="125" spans="1:123" s="22" customFormat="1" ht="15" customHeight="1" outlineLevel="2">
      <c r="A125" s="298" t="str">
        <f t="shared" si="7"/>
        <v>6.i.f</v>
      </c>
      <c r="B125" s="37"/>
      <c r="C125" s="97" t="s">
        <v>172</v>
      </c>
      <c r="D125" s="94" t="s">
        <v>70</v>
      </c>
      <c r="F125" s="280">
        <f>IF(INDEX('NZS O&amp;G and CA100'!$D$5:$D$193, MATCH('Company Scorecard - select'!$A125, 'NZS O&amp;G and CA100'!$B$5:$B$193, 0)) = "Disclosure", INDEX('NZS O&amp;G and CA100'!$E$5:$N$193, MATCH('Company Scorecard - select'!$A125, 'NZS O&amp;G and CA100'!$B$5:$B$193, 0),MATCH('Company Scorecard - select'!$C$5, 'NZS O&amp;G and CA100'!$E$3:$N$3, 0)),"")</f>
        <v>0</v>
      </c>
      <c r="G125" s="279"/>
      <c r="H125" s="280" t="str">
        <f>IF(INDEX('NZS O&amp;G and CA100'!$D$5:$D$193, MATCH('Company Scorecard - select'!$A125, 'NZS O&amp;G and CA100'!$B$5:$B$193, 0)) = "Alignment", INDEX('NZS O&amp;G and CA100'!$E$5:$N$193, MATCH('Company Scorecard - select'!$A125, 'NZS O&amp;G and CA100'!$B$5:$B$193, 0),MATCH('Company Scorecard - select'!$C$5, 'NZS O&amp;G and CA100'!$E$3:$N$3, 0)),"")</f>
        <v/>
      </c>
      <c r="I125" s="279"/>
      <c r="J125" s="281" t="str">
        <f>IF(OR(INDEX('NZS O&amp;G and CA100'!$D$5:$D$193, MATCH('Company Scorecard - select'!$A125, 'NZS O&amp;G and CA100'!$B$5:$B$193, 0)) = "Climate Solutions", INDEX('NZS O&amp;G and CA100'!$D$5:$D$193, MATCH('Company Scorecard - select'!$A125, 'NZS O&amp;G and CA100'!$B$5:$B$193, 0)) = "Solutions (Al)"), INDEX('NZS O&amp;G and CA100'!$E$5:$N$193, MATCH('Company Scorecard - select'!$A125, 'NZS O&amp;G and CA100'!$B$5:$B$193, 0),MATCH('Company Scorecard - select'!$C$5, 'NZS O&amp;G and CA100'!$E$3:$N$3, 0)),"")</f>
        <v/>
      </c>
      <c r="K125" s="22" t="s">
        <v>76</v>
      </c>
      <c r="L125" s="294"/>
      <c r="M125" s="26" t="s">
        <v>76</v>
      </c>
      <c r="N125" s="22" t="s">
        <v>76</v>
      </c>
      <c r="DQ125" s="24"/>
      <c r="DR125" s="24"/>
      <c r="DS125" s="24"/>
    </row>
    <row r="126" spans="1:123" s="22" customFormat="1" ht="15" customHeight="1" outlineLevel="2">
      <c r="A126" s="298" t="str">
        <f t="shared" si="7"/>
        <v>6.i.g</v>
      </c>
      <c r="B126" s="37"/>
      <c r="C126" s="97" t="s">
        <v>173</v>
      </c>
      <c r="D126" s="94" t="s">
        <v>70</v>
      </c>
      <c r="F126" s="280" t="str">
        <f>IF(INDEX('NZS O&amp;G and CA100'!$D$5:$D$193, MATCH('Company Scorecard - select'!$A126, 'NZS O&amp;G and CA100'!$B$5:$B$193, 0)) = "Disclosure", INDEX('NZS O&amp;G and CA100'!$E$5:$N$193, MATCH('Company Scorecard - select'!$A126, 'NZS O&amp;G and CA100'!$B$5:$B$193, 0),MATCH('Company Scorecard - select'!$C$5, 'NZS O&amp;G and CA100'!$E$3:$N$3, 0)),"")</f>
        <v/>
      </c>
      <c r="G126" s="279"/>
      <c r="H126" s="280" t="str">
        <f>IF(INDEX('NZS O&amp;G and CA100'!$D$5:$D$193, MATCH('Company Scorecard - select'!$A126, 'NZS O&amp;G and CA100'!$B$5:$B$193, 0)) = "Alignment", INDEX('NZS O&amp;G and CA100'!$E$5:$N$193, MATCH('Company Scorecard - select'!$A126, 'NZS O&amp;G and CA100'!$B$5:$B$193, 0),MATCH('Company Scorecard - select'!$C$5, 'NZS O&amp;G and CA100'!$E$3:$N$3, 0)),"")</f>
        <v>Under development</v>
      </c>
      <c r="I126" s="279"/>
      <c r="J126" s="281" t="str">
        <f>IF(OR(INDEX('NZS O&amp;G and CA100'!$D$5:$D$193, MATCH('Company Scorecard - select'!$A126, 'NZS O&amp;G and CA100'!$B$5:$B$193, 0)) = "Climate Solutions", INDEX('NZS O&amp;G and CA100'!$D$5:$D$193, MATCH('Company Scorecard - select'!$A126, 'NZS O&amp;G and CA100'!$B$5:$B$193, 0)) = "Solutions (Al)"), INDEX('NZS O&amp;G and CA100'!$E$5:$N$193, MATCH('Company Scorecard - select'!$A126, 'NZS O&amp;G and CA100'!$B$5:$B$193, 0),MATCH('Company Scorecard - select'!$C$5, 'NZS O&amp;G and CA100'!$E$3:$N$3, 0)),"")</f>
        <v/>
      </c>
      <c r="K126" s="22" t="s">
        <v>76</v>
      </c>
      <c r="L126" s="294"/>
      <c r="M126" s="26" t="s">
        <v>76</v>
      </c>
      <c r="N126" s="22" t="s">
        <v>76</v>
      </c>
      <c r="DQ126" s="24"/>
      <c r="DR126" s="24"/>
      <c r="DS126" s="24"/>
    </row>
    <row r="127" spans="1:123" s="22" customFormat="1" ht="15" customHeight="1" outlineLevel="2">
      <c r="A127" s="298" t="str">
        <f t="shared" si="7"/>
        <v>6.i.h</v>
      </c>
      <c r="B127" s="37"/>
      <c r="C127" s="97" t="s">
        <v>174</v>
      </c>
      <c r="D127" s="94" t="s">
        <v>70</v>
      </c>
      <c r="F127" s="280">
        <f>IF(INDEX('NZS O&amp;G and CA100'!$D$5:$D$193, MATCH('Company Scorecard - select'!$A127, 'NZS O&amp;G and CA100'!$B$5:$B$193, 0)) = "Disclosure", INDEX('NZS O&amp;G and CA100'!$E$5:$N$193, MATCH('Company Scorecard - select'!$A127, 'NZS O&amp;G and CA100'!$B$5:$B$193, 0),MATCH('Company Scorecard - select'!$C$5, 'NZS O&amp;G and CA100'!$E$3:$N$3, 0)),"")</f>
        <v>0</v>
      </c>
      <c r="G127" s="279"/>
      <c r="H127" s="280" t="str">
        <f>IF(INDEX('NZS O&amp;G and CA100'!$D$5:$D$193, MATCH('Company Scorecard - select'!$A127, 'NZS O&amp;G and CA100'!$B$5:$B$193, 0)) = "Alignment", INDEX('NZS O&amp;G and CA100'!$E$5:$N$193, MATCH('Company Scorecard - select'!$A127, 'NZS O&amp;G and CA100'!$B$5:$B$193, 0),MATCH('Company Scorecard - select'!$C$5, 'NZS O&amp;G and CA100'!$E$3:$N$3, 0)),"")</f>
        <v/>
      </c>
      <c r="I127" s="279"/>
      <c r="J127" s="281" t="str">
        <f>IF(OR(INDEX('NZS O&amp;G and CA100'!$D$5:$D$193, MATCH('Company Scorecard - select'!$A127, 'NZS O&amp;G and CA100'!$B$5:$B$193, 0)) = "Climate Solutions", INDEX('NZS O&amp;G and CA100'!$D$5:$D$193, MATCH('Company Scorecard - select'!$A127, 'NZS O&amp;G and CA100'!$B$5:$B$193, 0)) = "Solutions (Al)"), INDEX('NZS O&amp;G and CA100'!$E$5:$N$193, MATCH('Company Scorecard - select'!$A127, 'NZS O&amp;G and CA100'!$B$5:$B$193, 0),MATCH('Company Scorecard - select'!$C$5, 'NZS O&amp;G and CA100'!$E$3:$N$3, 0)),"")</f>
        <v/>
      </c>
      <c r="K127" s="22" t="s">
        <v>76</v>
      </c>
      <c r="L127" s="294"/>
      <c r="M127" s="26" t="s">
        <v>76</v>
      </c>
      <c r="N127" s="22" t="s">
        <v>76</v>
      </c>
      <c r="DQ127" s="24"/>
      <c r="DR127" s="24"/>
      <c r="DS127" s="24"/>
    </row>
    <row r="128" spans="1:123" s="22" customFormat="1" ht="15" customHeight="1" outlineLevel="2">
      <c r="A128" s="298" t="str">
        <f t="shared" si="7"/>
        <v>6.i.i</v>
      </c>
      <c r="B128" s="37"/>
      <c r="C128" s="97" t="s">
        <v>175</v>
      </c>
      <c r="D128" s="94" t="s">
        <v>70</v>
      </c>
      <c r="F128" s="280" t="str">
        <f>IF(INDEX('NZS O&amp;G and CA100'!$D$5:$D$193, MATCH('Company Scorecard - select'!$A128, 'NZS O&amp;G and CA100'!$B$5:$B$193, 0)) = "Disclosure", INDEX('NZS O&amp;G and CA100'!$E$5:$N$193, MATCH('Company Scorecard - select'!$A128, 'NZS O&amp;G and CA100'!$B$5:$B$193, 0),MATCH('Company Scorecard - select'!$C$5, 'NZS O&amp;G and CA100'!$E$3:$N$3, 0)),"")</f>
        <v/>
      </c>
      <c r="G128" s="279"/>
      <c r="H128" s="280" t="str">
        <f>IF(INDEX('NZS O&amp;G and CA100'!$D$5:$D$193, MATCH('Company Scorecard - select'!$A128, 'NZS O&amp;G and CA100'!$B$5:$B$193, 0)) = "Alignment", INDEX('NZS O&amp;G and CA100'!$E$5:$N$193, MATCH('Company Scorecard - select'!$A128, 'NZS O&amp;G and CA100'!$B$5:$B$193, 0),MATCH('Company Scorecard - select'!$C$5, 'NZS O&amp;G and CA100'!$E$3:$N$3, 0)),"")</f>
        <v>Under development</v>
      </c>
      <c r="I128" s="279"/>
      <c r="J128" s="281" t="str">
        <f>IF(OR(INDEX('NZS O&amp;G and CA100'!$D$5:$D$193, MATCH('Company Scorecard - select'!$A128, 'NZS O&amp;G and CA100'!$B$5:$B$193, 0)) = "Climate Solutions", INDEX('NZS O&amp;G and CA100'!$D$5:$D$193, MATCH('Company Scorecard - select'!$A128, 'NZS O&amp;G and CA100'!$B$5:$B$193, 0)) = "Solutions (Al)"), INDEX('NZS O&amp;G and CA100'!$E$5:$N$193, MATCH('Company Scorecard - select'!$A128, 'NZS O&amp;G and CA100'!$B$5:$B$193, 0),MATCH('Company Scorecard - select'!$C$5, 'NZS O&amp;G and CA100'!$E$3:$N$3, 0)),"")</f>
        <v/>
      </c>
      <c r="K128" s="22" t="s">
        <v>76</v>
      </c>
      <c r="L128" s="294"/>
      <c r="M128" s="26" t="s">
        <v>76</v>
      </c>
      <c r="N128" s="22" t="s">
        <v>76</v>
      </c>
      <c r="DQ128" s="24"/>
      <c r="DR128" s="24"/>
      <c r="DS128" s="24"/>
    </row>
    <row r="129" spans="1:123" s="22" customFormat="1" ht="15" customHeight="1" outlineLevel="1">
      <c r="A129" s="297">
        <v>6.2</v>
      </c>
      <c r="B129" s="33"/>
      <c r="C129" s="103" t="s">
        <v>176</v>
      </c>
      <c r="D129" s="94" t="s">
        <v>69</v>
      </c>
      <c r="E129" s="26"/>
      <c r="F129" s="280"/>
      <c r="G129" s="279"/>
      <c r="H129" s="281" t="str">
        <f>IF(OR(INDEX('NZS O&amp;G and CA100'!$D$5:$D$193, MATCH('Company Scorecard - select'!$A129, 'NZS O&amp;G and CA100'!$B$5:$B$193, 0)) = "Alignment", INDEX('NZS O&amp;G and CA100'!$D$5:$D$193, MATCH('Company Scorecard - select'!$A129, 'NZS O&amp;G and CA100'!$B$5:$B$193, 0)) = "Solutions (Al)"), INDEX('NZS O&amp;G and CA100'!$E$5:$N$193, MATCH('Company Scorecard - select'!$A129, 'NZS O&amp;G and CA100'!$B$5:$B$193, 0),MATCH('Company Scorecard - select'!$C$5, 'NZS O&amp;G and CA100'!$E$3:$N$3, 0)),"")</f>
        <v/>
      </c>
      <c r="I129" s="279"/>
      <c r="J129" s="281">
        <f>SUM(J130:J140)/COUNT(J130:J140)</f>
        <v>0.8</v>
      </c>
      <c r="K129" s="22" t="s">
        <v>76</v>
      </c>
      <c r="L129" s="294"/>
      <c r="M129" s="26" t="s">
        <v>76</v>
      </c>
      <c r="N129" s="22" t="s">
        <v>76</v>
      </c>
      <c r="DQ129" s="24"/>
      <c r="DR129" s="24"/>
      <c r="DS129" s="24"/>
    </row>
    <row r="130" spans="1:123" s="22" customFormat="1" ht="15" customHeight="1" outlineLevel="2">
      <c r="A130" s="297" t="str">
        <f>LEFT(C130,FIND(":",C130)-1)</f>
        <v>6.2.a</v>
      </c>
      <c r="B130" s="33"/>
      <c r="C130" s="99" t="s">
        <v>177</v>
      </c>
      <c r="D130" s="94" t="s">
        <v>69</v>
      </c>
      <c r="F130" s="280" t="str">
        <f>IF(INDEX('NZS O&amp;G and CA100'!$D$5:$D$193, MATCH('Company Scorecard - select'!$A130, 'NZS O&amp;G and CA100'!$B$5:$B$193, 0)) = "Disclosure", INDEX('NZS O&amp;G and CA100'!$E$5:$N$193, MATCH('Company Scorecard - select'!$A130, 'NZS O&amp;G and CA100'!$B$5:$B$193, 0),MATCH('Company Scorecard - select'!$C$5, 'NZS O&amp;G and CA100'!$E$3:$N$3, 0)),"")</f>
        <v/>
      </c>
      <c r="G130" s="279"/>
      <c r="H130" s="281" t="str">
        <f>IF(OR(INDEX('NZS O&amp;G and CA100'!$D$5:$D$193, MATCH('Company Scorecard - select'!$A130, 'NZS O&amp;G and CA100'!$B$5:$B$193, 0)) = "Alignment", INDEX('NZS O&amp;G and CA100'!$D$5:$D$193, MATCH('Company Scorecard - select'!$A130, 'NZS O&amp;G and CA100'!$B$5:$B$193, 0)) = "Solutions (Al)"), INDEX('NZS O&amp;G and CA100'!$E$5:$N$193, MATCH('Company Scorecard - select'!$A130, 'NZS O&amp;G and CA100'!$B$5:$B$193, 0),MATCH('Company Scorecard - select'!$C$5, 'NZS O&amp;G and CA100'!$E$3:$N$3, 0)),"")</f>
        <v/>
      </c>
      <c r="I130" s="279"/>
      <c r="J130" s="281">
        <f>IF(OR(INDEX('NZS O&amp;G and CA100'!$D$5:$D$193, MATCH('Company Scorecard - select'!$A130, 'NZS O&amp;G and CA100'!$B$5:$B$193, 0)) = "Climate Solutions", INDEX('NZS O&amp;G and CA100'!$D$5:$D$193, MATCH('Company Scorecard - select'!$A130, 'NZS O&amp;G and CA100'!$B$5:$B$193, 0)) = "Solutions (Al)"), INDEX('NZS O&amp;G and CA100'!$E$5:$N$193, MATCH('Company Scorecard - select'!$A130, 'NZS O&amp;G and CA100'!$B$5:$B$193, 0),MATCH('Company Scorecard - select'!$C$5, 'NZS O&amp;G and CA100'!$E$3:$N$3, 0)),"")</f>
        <v>1</v>
      </c>
      <c r="K130" s="22" t="s">
        <v>76</v>
      </c>
      <c r="L130" s="294"/>
      <c r="M130" s="26" t="s">
        <v>76</v>
      </c>
      <c r="N130" s="22" t="s">
        <v>76</v>
      </c>
      <c r="DQ130" s="24"/>
      <c r="DR130" s="24"/>
      <c r="DS130" s="24"/>
    </row>
    <row r="131" spans="1:123" s="22" customFormat="1" ht="15" customHeight="1" outlineLevel="2">
      <c r="A131" s="297" t="str">
        <f>LEFT(C131,FIND(":",C131)-1)</f>
        <v>6.2.b</v>
      </c>
      <c r="B131" s="33"/>
      <c r="C131" s="99" t="s">
        <v>178</v>
      </c>
      <c r="D131" s="94" t="s">
        <v>69</v>
      </c>
      <c r="F131" s="280" t="str">
        <f>IF(INDEX('NZS O&amp;G and CA100'!$D$5:$D$193, MATCH('Company Scorecard - select'!$A131, 'NZS O&amp;G and CA100'!$B$5:$B$193, 0)) = "Disclosure", INDEX('NZS O&amp;G and CA100'!$E$5:$N$193, MATCH('Company Scorecard - select'!$A131, 'NZS O&amp;G and CA100'!$B$5:$B$193, 0),MATCH('Company Scorecard - select'!$C$5, 'NZS O&amp;G and CA100'!$E$3:$N$3, 0)),"")</f>
        <v/>
      </c>
      <c r="G131" s="279"/>
      <c r="H131" s="281" t="str">
        <f>IF(OR(INDEX('NZS O&amp;G and CA100'!$D$5:$D$193, MATCH('Company Scorecard - select'!$A131, 'NZS O&amp;G and CA100'!$B$5:$B$193, 0)) = "Alignment", INDEX('NZS O&amp;G and CA100'!$D$5:$D$193, MATCH('Company Scorecard - select'!$A131, 'NZS O&amp;G and CA100'!$B$5:$B$193, 0)) = "Solutions (Al)"), INDEX('NZS O&amp;G and CA100'!$E$5:$N$193, MATCH('Company Scorecard - select'!$A131, 'NZS O&amp;G and CA100'!$B$5:$B$193, 0),MATCH('Company Scorecard - select'!$C$5, 'NZS O&amp;G and CA100'!$E$3:$N$3, 0)),"")</f>
        <v/>
      </c>
      <c r="I131" s="279"/>
      <c r="J131" s="281">
        <f>IF(OR(INDEX('NZS O&amp;G and CA100'!$D$5:$D$193, MATCH('Company Scorecard - select'!$A131, 'NZS O&amp;G and CA100'!$B$5:$B$193, 0)) = "Climate Solutions", INDEX('NZS O&amp;G and CA100'!$D$5:$D$193, MATCH('Company Scorecard - select'!$A131, 'NZS O&amp;G and CA100'!$B$5:$B$193, 0)) = "Solutions (Al)"), INDEX('NZS O&amp;G and CA100'!$E$5:$N$193, MATCH('Company Scorecard - select'!$A131, 'NZS O&amp;G and CA100'!$B$5:$B$193, 0),MATCH('Company Scorecard - select'!$C$5, 'NZS O&amp;G and CA100'!$E$3:$N$3, 0)),"")</f>
        <v>1</v>
      </c>
      <c r="K131" s="22" t="s">
        <v>76</v>
      </c>
      <c r="L131" s="294"/>
      <c r="M131" s="26" t="s">
        <v>76</v>
      </c>
      <c r="N131" s="22" t="s">
        <v>76</v>
      </c>
      <c r="DQ131" s="24"/>
      <c r="DR131" s="24"/>
      <c r="DS131" s="24"/>
    </row>
    <row r="132" spans="1:123" s="22" customFormat="1" ht="15" customHeight="1" outlineLevel="2">
      <c r="A132" s="297" t="str">
        <f t="shared" ref="A132:A140" si="8">LEFT(C132,FIND(":",C132)-1)</f>
        <v>6.ii.a</v>
      </c>
      <c r="B132" s="33"/>
      <c r="C132" s="97" t="s">
        <v>179</v>
      </c>
      <c r="D132" s="94" t="s">
        <v>70</v>
      </c>
      <c r="F132" s="280" t="str">
        <f>IF(INDEX('NZS O&amp;G and CA100'!$D$5:$D$193, MATCH('Company Scorecard - select'!$A132, 'NZS O&amp;G and CA100'!$B$5:$B$193, 0)) = "Disclosure", INDEX('NZS O&amp;G and CA100'!$E$5:$N$193, MATCH('Company Scorecard - select'!$A132, 'NZS O&amp;G and CA100'!$B$5:$B$193, 0),MATCH('Company Scorecard - select'!$C$5, 'NZS O&amp;G and CA100'!$E$3:$N$3, 0)),"")</f>
        <v/>
      </c>
      <c r="G132" s="279"/>
      <c r="H132" s="280" t="str">
        <f>IF(INDEX('NZS O&amp;G and CA100'!$D$5:$D$193, MATCH('Company Scorecard - select'!$A132, 'NZS O&amp;G and CA100'!$B$5:$B$193, 0)) = "Alignment", INDEX('NZS O&amp;G and CA100'!$E$5:$N$193, MATCH('Company Scorecard - select'!$A132, 'NZS O&amp;G and CA100'!$B$5:$B$193, 0),MATCH('Company Scorecard - select'!$C$5, 'NZS O&amp;G and CA100'!$E$3:$N$3, 0)),"")</f>
        <v/>
      </c>
      <c r="I132" s="279"/>
      <c r="J132" s="281">
        <f>IF(OR(INDEX('NZS O&amp;G and CA100'!$D$5:$D$193, MATCH('Company Scorecard - select'!$A132, 'NZS O&amp;G and CA100'!$B$5:$B$193, 0)) = "Climate Solutions", INDEX('NZS O&amp;G and CA100'!$D$5:$D$193, MATCH('Company Scorecard - select'!$A132, 'NZS O&amp;G and CA100'!$B$5:$B$193, 0)) = "Solutions (Al)"), INDEX('NZS O&amp;G and CA100'!$E$5:$N$193, MATCH('Company Scorecard - select'!$A132, 'NZS O&amp;G and CA100'!$B$5:$B$193, 0),MATCH('Company Scorecard - select'!$C$5, 'NZS O&amp;G and CA100'!$E$3:$N$3, 0)),"")</f>
        <v>1</v>
      </c>
      <c r="K132" s="22" t="s">
        <v>76</v>
      </c>
      <c r="L132" s="294"/>
      <c r="M132" s="26" t="s">
        <v>76</v>
      </c>
      <c r="N132" s="22" t="s">
        <v>76</v>
      </c>
      <c r="DQ132" s="24"/>
      <c r="DR132" s="24"/>
      <c r="DS132" s="24"/>
    </row>
    <row r="133" spans="1:123" s="22" customFormat="1" ht="15" customHeight="1" outlineLevel="2">
      <c r="A133" s="297" t="str">
        <f t="shared" si="8"/>
        <v>6.ii.b</v>
      </c>
      <c r="B133" s="33"/>
      <c r="C133" s="97" t="s">
        <v>180</v>
      </c>
      <c r="D133" s="92" t="s">
        <v>70</v>
      </c>
      <c r="F133" s="280" t="str">
        <f>IF(INDEX('NZS O&amp;G and CA100'!$D$5:$D$193, MATCH('Company Scorecard - select'!$A133, 'NZS O&amp;G and CA100'!$B$5:$B$193, 0)) = "Disclosure", INDEX('NZS O&amp;G and CA100'!$E$5:$N$193, MATCH('Company Scorecard - select'!$A133, 'NZS O&amp;G and CA100'!$B$5:$B$193, 0),MATCH('Company Scorecard - select'!$C$5, 'NZS O&amp;G and CA100'!$E$3:$N$3, 0)),"")</f>
        <v/>
      </c>
      <c r="G133" s="279"/>
      <c r="H133" s="280" t="str">
        <f>IF(INDEX('NZS O&amp;G and CA100'!$D$5:$D$193, MATCH('Company Scorecard - select'!$A133, 'NZS O&amp;G and CA100'!$B$5:$B$193, 0)) = "Alignment", INDEX('NZS O&amp;G and CA100'!$E$5:$N$193, MATCH('Company Scorecard - select'!$A133, 'NZS O&amp;G and CA100'!$B$5:$B$193, 0),MATCH('Company Scorecard - select'!$C$5, 'NZS O&amp;G and CA100'!$E$3:$N$3, 0)),"")</f>
        <v/>
      </c>
      <c r="I133" s="279"/>
      <c r="J133" s="281">
        <f>IF(OR(INDEX('NZS O&amp;G and CA100'!$D$5:$D$193, MATCH('Company Scorecard - select'!$A133, 'NZS O&amp;G and CA100'!$B$5:$B$193, 0)) = "Climate Solutions", INDEX('NZS O&amp;G and CA100'!$D$5:$D$193, MATCH('Company Scorecard - select'!$A133, 'NZS O&amp;G and CA100'!$B$5:$B$193, 0)) = "Solutions (Al)"), INDEX('NZS O&amp;G and CA100'!$E$5:$N$193, MATCH('Company Scorecard - select'!$A133, 'NZS O&amp;G and CA100'!$B$5:$B$193, 0),MATCH('Company Scorecard - select'!$C$5, 'NZS O&amp;G and CA100'!$E$3:$N$3, 0)),"")</f>
        <v>1</v>
      </c>
      <c r="K133" s="22" t="s">
        <v>76</v>
      </c>
      <c r="L133" s="294"/>
      <c r="M133" s="26" t="s">
        <v>76</v>
      </c>
      <c r="N133" s="22" t="s">
        <v>76</v>
      </c>
      <c r="DQ133" s="24"/>
      <c r="DR133" s="24"/>
      <c r="DS133" s="24"/>
    </row>
    <row r="134" spans="1:123" s="22" customFormat="1" ht="15" customHeight="1" outlineLevel="2">
      <c r="A134" s="297" t="str">
        <f t="shared" si="8"/>
        <v>6.ii.c</v>
      </c>
      <c r="B134" s="33"/>
      <c r="C134" s="97" t="s">
        <v>181</v>
      </c>
      <c r="D134" s="92" t="s">
        <v>70</v>
      </c>
      <c r="F134" s="280" t="str">
        <f>IF(INDEX('NZS O&amp;G and CA100'!$D$5:$D$193, MATCH('Company Scorecard - select'!$A134, 'NZS O&amp;G and CA100'!$B$5:$B$193, 0)) = "Disclosure", INDEX('NZS O&amp;G and CA100'!$E$5:$N$193, MATCH('Company Scorecard - select'!$A134, 'NZS O&amp;G and CA100'!$B$5:$B$193, 0),MATCH('Company Scorecard - select'!$C$5, 'NZS O&amp;G and CA100'!$E$3:$N$3, 0)),"")</f>
        <v/>
      </c>
      <c r="G134" s="279"/>
      <c r="H134" s="280" t="str">
        <f>IF(INDEX('NZS O&amp;G and CA100'!$D$5:$D$193, MATCH('Company Scorecard - select'!$A134, 'NZS O&amp;G and CA100'!$B$5:$B$193, 0)) = "Alignment", INDEX('NZS O&amp;G and CA100'!$E$5:$N$193, MATCH('Company Scorecard - select'!$A134, 'NZS O&amp;G and CA100'!$B$5:$B$193, 0),MATCH('Company Scorecard - select'!$C$5, 'NZS O&amp;G and CA100'!$E$3:$N$3, 0)),"")</f>
        <v/>
      </c>
      <c r="I134" s="279"/>
      <c r="J134" s="281">
        <f>IF(OR(INDEX('NZS O&amp;G and CA100'!$D$5:$D$193, MATCH('Company Scorecard - select'!$A134, 'NZS O&amp;G and CA100'!$B$5:$B$193, 0)) = "Climate Solutions", INDEX('NZS O&amp;G and CA100'!$D$5:$D$193, MATCH('Company Scorecard - select'!$A134, 'NZS O&amp;G and CA100'!$B$5:$B$193, 0)) = "Solutions (Al)"), INDEX('NZS O&amp;G and CA100'!$E$5:$N$193, MATCH('Company Scorecard - select'!$A134, 'NZS O&amp;G and CA100'!$B$5:$B$193, 0),MATCH('Company Scorecard - select'!$C$5, 'NZS O&amp;G and CA100'!$E$3:$N$3, 0)),"")</f>
        <v>0</v>
      </c>
      <c r="K134" s="22" t="s">
        <v>76</v>
      </c>
      <c r="L134" s="294"/>
      <c r="M134" s="26" t="s">
        <v>76</v>
      </c>
      <c r="N134" s="22" t="s">
        <v>76</v>
      </c>
      <c r="DQ134" s="24"/>
      <c r="DR134" s="24"/>
      <c r="DS134" s="24"/>
    </row>
    <row r="135" spans="1:123" s="22" customFormat="1" ht="15" customHeight="1" outlineLevel="2">
      <c r="A135" s="297" t="str">
        <f t="shared" si="8"/>
        <v>6.ii.d</v>
      </c>
      <c r="B135" s="33"/>
      <c r="C135" s="97" t="s">
        <v>182</v>
      </c>
      <c r="D135" s="92" t="s">
        <v>70</v>
      </c>
      <c r="F135" s="280" t="str">
        <f>IF(INDEX('NZS O&amp;G and CA100'!$D$5:$D$193, MATCH('Company Scorecard - select'!$A135, 'NZS O&amp;G and CA100'!$B$5:$B$193, 0)) = "Disclosure", INDEX('NZS O&amp;G and CA100'!$E$5:$N$193, MATCH('Company Scorecard - select'!$A135, 'NZS O&amp;G and CA100'!$B$5:$B$193, 0),MATCH('Company Scorecard - select'!$C$5, 'NZS O&amp;G and CA100'!$E$3:$N$3, 0)),"")</f>
        <v/>
      </c>
      <c r="G135" s="279"/>
      <c r="H135" s="280" t="str">
        <f>IF(INDEX('NZS O&amp;G and CA100'!$D$5:$D$193, MATCH('Company Scorecard - select'!$A135, 'NZS O&amp;G and CA100'!$B$5:$B$193, 0)) = "Alignment", INDEX('NZS O&amp;G and CA100'!$E$5:$N$193, MATCH('Company Scorecard - select'!$A135, 'NZS O&amp;G and CA100'!$B$5:$B$193, 0),MATCH('Company Scorecard - select'!$C$5, 'NZS O&amp;G and CA100'!$E$3:$N$3, 0)),"")</f>
        <v/>
      </c>
      <c r="I135" s="279"/>
      <c r="J135" s="281">
        <f>IF(OR(INDEX('NZS O&amp;G and CA100'!$D$5:$D$193, MATCH('Company Scorecard - select'!$A135, 'NZS O&amp;G and CA100'!$B$5:$B$193, 0)) = "Climate Solutions", INDEX('NZS O&amp;G and CA100'!$D$5:$D$193, MATCH('Company Scorecard - select'!$A135, 'NZS O&amp;G and CA100'!$B$5:$B$193, 0)) = "Solutions (Al)"), INDEX('NZS O&amp;G and CA100'!$E$5:$N$193, MATCH('Company Scorecard - select'!$A135, 'NZS O&amp;G and CA100'!$B$5:$B$193, 0),MATCH('Company Scorecard - select'!$C$5, 'NZS O&amp;G and CA100'!$E$3:$N$3, 0)),"")</f>
        <v>1</v>
      </c>
      <c r="K135" s="22" t="s">
        <v>76</v>
      </c>
      <c r="L135" s="294"/>
      <c r="M135" s="26" t="s">
        <v>76</v>
      </c>
      <c r="N135" s="22" t="s">
        <v>76</v>
      </c>
      <c r="DQ135" s="24"/>
      <c r="DR135" s="24"/>
      <c r="DS135" s="24"/>
    </row>
    <row r="136" spans="1:123" s="22" customFormat="1" ht="15" customHeight="1" outlineLevel="2">
      <c r="A136" s="297" t="str">
        <f t="shared" si="8"/>
        <v>6.ii.e</v>
      </c>
      <c r="B136" s="33"/>
      <c r="C136" s="97" t="s">
        <v>183</v>
      </c>
      <c r="D136" s="92" t="s">
        <v>70</v>
      </c>
      <c r="F136" s="280" t="str">
        <f>IF(INDEX('NZS O&amp;G and CA100'!$D$5:$D$193, MATCH('Company Scorecard - select'!$A136, 'NZS O&amp;G and CA100'!$B$5:$B$193, 0)) = "Disclosure", INDEX('NZS O&amp;G and CA100'!$E$5:$N$193, MATCH('Company Scorecard - select'!$A136, 'NZS O&amp;G and CA100'!$B$5:$B$193, 0),MATCH('Company Scorecard - select'!$C$5, 'NZS O&amp;G and CA100'!$E$3:$N$3, 0)),"")</f>
        <v/>
      </c>
      <c r="G136" s="279"/>
      <c r="H136" s="280" t="str">
        <f>IF(INDEX('NZS O&amp;G and CA100'!$D$5:$D$193, MATCH('Company Scorecard - select'!$A136, 'NZS O&amp;G and CA100'!$B$5:$B$193, 0)) = "Alignment", INDEX('NZS O&amp;G and CA100'!$E$5:$N$193, MATCH('Company Scorecard - select'!$A136, 'NZS O&amp;G and CA100'!$B$5:$B$193, 0),MATCH('Company Scorecard - select'!$C$5, 'NZS O&amp;G and CA100'!$E$3:$N$3, 0)),"")</f>
        <v/>
      </c>
      <c r="I136" s="279"/>
      <c r="J136" s="281">
        <f>IF(OR(INDEX('NZS O&amp;G and CA100'!$D$5:$D$193, MATCH('Company Scorecard - select'!$A136, 'NZS O&amp;G and CA100'!$B$5:$B$193, 0)) = "Climate Solutions", INDEX('NZS O&amp;G and CA100'!$D$5:$D$193, MATCH('Company Scorecard - select'!$A136, 'NZS O&amp;G and CA100'!$B$5:$B$193, 0)) = "Solutions (Al)"), INDEX('NZS O&amp;G and CA100'!$E$5:$N$193, MATCH('Company Scorecard - select'!$A136, 'NZS O&amp;G and CA100'!$B$5:$B$193, 0),MATCH('Company Scorecard - select'!$C$5, 'NZS O&amp;G and CA100'!$E$3:$N$3, 0)),"")</f>
        <v>1</v>
      </c>
      <c r="K136" s="22" t="s">
        <v>76</v>
      </c>
      <c r="L136" s="294"/>
      <c r="M136" s="26" t="s">
        <v>76</v>
      </c>
      <c r="N136" s="22" t="s">
        <v>76</v>
      </c>
      <c r="DQ136" s="24"/>
      <c r="DR136" s="24"/>
      <c r="DS136" s="24"/>
    </row>
    <row r="137" spans="1:123" s="22" customFormat="1" ht="15" customHeight="1" outlineLevel="2">
      <c r="A137" s="297" t="str">
        <f t="shared" si="8"/>
        <v>6.ii.f</v>
      </c>
      <c r="B137" s="33"/>
      <c r="C137" s="97" t="s">
        <v>184</v>
      </c>
      <c r="D137" s="92" t="s">
        <v>70</v>
      </c>
      <c r="F137" s="280" t="str">
        <f>IF(INDEX('NZS O&amp;G and CA100'!$D$5:$D$193, MATCH('Company Scorecard - select'!$A137, 'NZS O&amp;G and CA100'!$B$5:$B$193, 0)) = "Disclosure", INDEX('NZS O&amp;G and CA100'!$E$5:$N$193, MATCH('Company Scorecard - select'!$A137, 'NZS O&amp;G and CA100'!$B$5:$B$193, 0),MATCH('Company Scorecard - select'!$C$5, 'NZS O&amp;G and CA100'!$E$3:$N$3, 0)),"")</f>
        <v/>
      </c>
      <c r="G137" s="279"/>
      <c r="H137" s="280" t="str">
        <f>IF(INDEX('NZS O&amp;G and CA100'!$D$5:$D$193, MATCH('Company Scorecard - select'!$A137, 'NZS O&amp;G and CA100'!$B$5:$B$193, 0)) = "Alignment", INDEX('NZS O&amp;G and CA100'!$E$5:$N$193, MATCH('Company Scorecard - select'!$A137, 'NZS O&amp;G and CA100'!$B$5:$B$193, 0),MATCH('Company Scorecard - select'!$C$5, 'NZS O&amp;G and CA100'!$E$3:$N$3, 0)),"")</f>
        <v/>
      </c>
      <c r="I137" s="279"/>
      <c r="J137" s="281">
        <f>IF(OR(INDEX('NZS O&amp;G and CA100'!$D$5:$D$193, MATCH('Company Scorecard - select'!$A137, 'NZS O&amp;G and CA100'!$B$5:$B$193, 0)) = "Climate Solutions", INDEX('NZS O&amp;G and CA100'!$D$5:$D$193, MATCH('Company Scorecard - select'!$A137, 'NZS O&amp;G and CA100'!$B$5:$B$193, 0)) = "Solutions (Al)"), INDEX('NZS O&amp;G and CA100'!$E$5:$N$193, MATCH('Company Scorecard - select'!$A137, 'NZS O&amp;G and CA100'!$B$5:$B$193, 0),MATCH('Company Scorecard - select'!$C$5, 'NZS O&amp;G and CA100'!$E$3:$N$3, 0)),"")</f>
        <v>1</v>
      </c>
      <c r="K137" s="22" t="s">
        <v>76</v>
      </c>
      <c r="L137" s="294"/>
      <c r="M137" s="26" t="s">
        <v>76</v>
      </c>
      <c r="N137" s="22" t="s">
        <v>76</v>
      </c>
      <c r="DQ137" s="24"/>
      <c r="DR137" s="24"/>
      <c r="DS137" s="24"/>
    </row>
    <row r="138" spans="1:123" s="22" customFormat="1" ht="15" customHeight="1" outlineLevel="2">
      <c r="A138" s="297" t="str">
        <f t="shared" si="8"/>
        <v>6.ii.g</v>
      </c>
      <c r="B138" s="33"/>
      <c r="C138" s="97" t="s">
        <v>185</v>
      </c>
      <c r="D138" s="92" t="s">
        <v>70</v>
      </c>
      <c r="F138" s="280" t="str">
        <f>IF(INDEX('NZS O&amp;G and CA100'!$D$5:$D$193, MATCH('Company Scorecard - select'!$A138, 'NZS O&amp;G and CA100'!$B$5:$B$193, 0)) = "Disclosure", INDEX('NZS O&amp;G and CA100'!$E$5:$N$193, MATCH('Company Scorecard - select'!$A138, 'NZS O&amp;G and CA100'!$B$5:$B$193, 0),MATCH('Company Scorecard - select'!$C$5, 'NZS O&amp;G and CA100'!$E$3:$N$3, 0)),"")</f>
        <v/>
      </c>
      <c r="G138" s="279"/>
      <c r="H138" s="280" t="str">
        <f>IF(INDEX('NZS O&amp;G and CA100'!$D$5:$D$193, MATCH('Company Scorecard - select'!$A138, 'NZS O&amp;G and CA100'!$B$5:$B$193, 0)) = "Alignment", INDEX('NZS O&amp;G and CA100'!$E$5:$N$193, MATCH('Company Scorecard - select'!$A138, 'NZS O&amp;G and CA100'!$B$5:$B$193, 0),MATCH('Company Scorecard - select'!$C$5, 'NZS O&amp;G and CA100'!$E$3:$N$3, 0)),"")</f>
        <v/>
      </c>
      <c r="I138" s="279"/>
      <c r="J138" s="281">
        <f>IF(OR(INDEX('NZS O&amp;G and CA100'!$D$5:$D$193, MATCH('Company Scorecard - select'!$A138, 'NZS O&amp;G and CA100'!$B$5:$B$193, 0)) = "Climate Solutions", INDEX('NZS O&amp;G and CA100'!$D$5:$D$193, MATCH('Company Scorecard - select'!$A138, 'NZS O&amp;G and CA100'!$B$5:$B$193, 0)) = "Solutions (Al)"), INDEX('NZS O&amp;G and CA100'!$E$5:$N$193, MATCH('Company Scorecard - select'!$A138, 'NZS O&amp;G and CA100'!$B$5:$B$193, 0),MATCH('Company Scorecard - select'!$C$5, 'NZS O&amp;G and CA100'!$E$3:$N$3, 0)),"")</f>
        <v>0</v>
      </c>
      <c r="L138" s="294"/>
      <c r="M138" s="26" t="s">
        <v>76</v>
      </c>
      <c r="N138" s="22" t="s">
        <v>76</v>
      </c>
      <c r="DQ138" s="24"/>
      <c r="DR138" s="24"/>
      <c r="DS138" s="24"/>
    </row>
    <row r="139" spans="1:123" s="22" customFormat="1" ht="15" customHeight="1" outlineLevel="2">
      <c r="A139" s="297" t="str">
        <f>LEFT(C139,FIND(":",C139)-1)</f>
        <v>6.ii.h</v>
      </c>
      <c r="B139" s="33"/>
      <c r="C139" s="97" t="s">
        <v>186</v>
      </c>
      <c r="D139" s="92" t="s">
        <v>70</v>
      </c>
      <c r="F139" s="280" t="str">
        <f>IF(INDEX('NZS O&amp;G and CA100'!$D$5:$D$193, MATCH('Company Scorecard - select'!$A139, 'NZS O&amp;G and CA100'!$B$5:$B$193, 0)) = "Disclosure", INDEX('NZS O&amp;G and CA100'!$E$5:$N$193, MATCH('Company Scorecard - select'!$A139, 'NZS O&amp;G and CA100'!$B$5:$B$193, 0),MATCH('Company Scorecard - select'!$C$5, 'NZS O&amp;G and CA100'!$E$3:$N$3, 0)),"")</f>
        <v/>
      </c>
      <c r="G139" s="279"/>
      <c r="H139" s="280" t="str">
        <f>IF(INDEX('NZS O&amp;G and CA100'!$D$5:$D$193, MATCH('Company Scorecard - select'!$A139, 'NZS O&amp;G and CA100'!$B$5:$B$193, 0)) = "Alignment", INDEX('NZS O&amp;G and CA100'!$E$5:$N$193, MATCH('Company Scorecard - select'!$A139, 'NZS O&amp;G and CA100'!$B$5:$B$193, 0),MATCH('Company Scorecard - select'!$C$5, 'NZS O&amp;G and CA100'!$E$3:$N$3, 0)),"")</f>
        <v/>
      </c>
      <c r="I139" s="279"/>
      <c r="J139" s="281">
        <f>IF(OR(INDEX('NZS O&amp;G and CA100'!$D$5:$D$193, MATCH('Company Scorecard - select'!$A139, 'NZS O&amp;G and CA100'!$B$5:$B$193, 0)) = "Climate Solutions", INDEX('NZS O&amp;G and CA100'!$D$5:$D$193, MATCH('Company Scorecard - select'!$A139, 'NZS O&amp;G and CA100'!$B$5:$B$193, 0)) = "Solutions (Al)"), INDEX('NZS O&amp;G and CA100'!$E$5:$N$193, MATCH('Company Scorecard - select'!$A139, 'NZS O&amp;G and CA100'!$B$5:$B$193, 0),MATCH('Company Scorecard - select'!$C$5, 'NZS O&amp;G and CA100'!$E$3:$N$3, 0)),"")</f>
        <v>1</v>
      </c>
      <c r="L139" s="294"/>
      <c r="N139" s="22" t="s">
        <v>76</v>
      </c>
      <c r="DQ139" s="24"/>
      <c r="DR139" s="24"/>
      <c r="DS139" s="24"/>
    </row>
    <row r="140" spans="1:123" s="22" customFormat="1" ht="15" customHeight="1" outlineLevel="2">
      <c r="A140" s="297" t="str">
        <f t="shared" si="8"/>
        <v>6.ii.i</v>
      </c>
      <c r="B140" s="33"/>
      <c r="C140" s="97" t="s">
        <v>187</v>
      </c>
      <c r="D140" s="92" t="s">
        <v>70</v>
      </c>
      <c r="F140" s="280" t="str">
        <f>IF(INDEX('NZS O&amp;G and CA100'!$D$5:$D$193, MATCH('Company Scorecard - select'!$A140, 'NZS O&amp;G and CA100'!$B$5:$B$193, 0)) = "Disclosure", INDEX('NZS O&amp;G and CA100'!$E$5:$N$193, MATCH('Company Scorecard - select'!$A140, 'NZS O&amp;G and CA100'!$B$5:$B$193, 0),MATCH('Company Scorecard - select'!$C$5, 'NZS O&amp;G and CA100'!$E$3:$N$3, 0)),"")</f>
        <v/>
      </c>
      <c r="G140" s="279"/>
      <c r="H140" s="280" t="str">
        <f>IF(INDEX('NZS O&amp;G and CA100'!$D$5:$D$193, MATCH('Company Scorecard - select'!$A140, 'NZS O&amp;G and CA100'!$B$5:$B$193, 0)) = "Alignment", INDEX('NZS O&amp;G and CA100'!$E$5:$N$193, MATCH('Company Scorecard - select'!$A140, 'NZS O&amp;G and CA100'!$B$5:$B$193, 0),MATCH('Company Scorecard - select'!$C$5, 'NZS O&amp;G and CA100'!$E$3:$N$3, 0)),"")</f>
        <v/>
      </c>
      <c r="I140" s="279"/>
      <c r="J140" s="281" t="str">
        <f>IF(OR(INDEX('NZS O&amp;G and CA100'!$D$5:$D$193, MATCH('Company Scorecard - select'!$A140, 'NZS O&amp;G and CA100'!$B$5:$B$193, 0)) = "Climate Solutions", INDEX('NZS O&amp;G and CA100'!$D$5:$D$193, MATCH('Company Scorecard - select'!$A140, 'NZS O&amp;G and CA100'!$B$5:$B$193, 0)) = "Solutions (Al)"), INDEX('NZS O&amp;G and CA100'!$E$5:$N$193, MATCH('Company Scorecard - select'!$A140, 'NZS O&amp;G and CA100'!$B$5:$B$193, 0),MATCH('Company Scorecard - select'!$C$5, 'NZS O&amp;G and CA100'!$E$3:$N$3, 0)),"")</f>
        <v>Under development</v>
      </c>
      <c r="L140" s="294"/>
      <c r="N140" s="22" t="s">
        <v>76</v>
      </c>
      <c r="DQ140" s="24"/>
      <c r="DR140" s="24"/>
      <c r="DS140" s="24"/>
    </row>
    <row r="141" spans="1:123" s="22" customFormat="1" ht="15" customHeight="1" outlineLevel="1">
      <c r="A141" s="297" t="s">
        <v>188</v>
      </c>
      <c r="B141" s="33"/>
      <c r="C141" s="102" t="s">
        <v>189</v>
      </c>
      <c r="D141" s="92" t="s">
        <v>70</v>
      </c>
      <c r="F141" s="280">
        <f>SUM(F142:F143)/COUNT(F142:F143)</f>
        <v>0</v>
      </c>
      <c r="G141" s="279"/>
      <c r="H141" s="281" t="str">
        <f>IF(OR(INDEX('NZS O&amp;G and CA100'!$D$5:$D$193, MATCH('Company Scorecard - select'!$A141, 'NZS O&amp;G and CA100'!$B$5:$B$193, 0)) = "Alignment", INDEX('NZS O&amp;G and CA100'!$D$5:$D$193, MATCH('Company Scorecard - select'!$A141, 'NZS O&amp;G and CA100'!$B$5:$B$193, 0)) = "Solutions (Al)"), INDEX('NZS O&amp;G and CA100'!$E$5:$N$193, MATCH('Company Scorecard - select'!$A141, 'NZS O&amp;G and CA100'!$B$5:$B$193, 0),MATCH('Company Scorecard - select'!$C$5, 'NZS O&amp;G and CA100'!$E$3:$N$3, 0)),"")</f>
        <v/>
      </c>
      <c r="I141" s="279"/>
      <c r="J141" s="281" t="str">
        <f>IF(OR(INDEX('NZS O&amp;G and CA100'!$D$5:$D$193, MATCH('Company Scorecard - select'!$A141, 'NZS O&amp;G and CA100'!$B$5:$B$193, 0)) = "Climate Solutions", INDEX('NZS O&amp;G and CA100'!$D$5:$D$193, MATCH('Company Scorecard - select'!$A141, 'NZS O&amp;G and CA100'!$B$5:$B$193, 0)) = "Solutions (Al)"), INDEX('NZS O&amp;G and CA100'!$E$5:$N$193, MATCH('Company Scorecard - select'!$A141, 'NZS O&amp;G and CA100'!$B$5:$B$193, 0),MATCH('Company Scorecard - select'!$C$5, 'NZS O&amp;G and CA100'!$E$3:$N$3, 0)),"")</f>
        <v/>
      </c>
      <c r="L141" s="294"/>
      <c r="N141" s="22" t="s">
        <v>76</v>
      </c>
      <c r="DQ141" s="24"/>
      <c r="DR141" s="24"/>
      <c r="DS141" s="24"/>
    </row>
    <row r="142" spans="1:123" s="22" customFormat="1" ht="15" customHeight="1" outlineLevel="2">
      <c r="A142" s="298" t="str">
        <f>LEFT(C142,FIND(":",C142)-1)</f>
        <v>6.iii.a</v>
      </c>
      <c r="B142" s="33"/>
      <c r="C142" s="97" t="s">
        <v>190</v>
      </c>
      <c r="D142" s="92" t="s">
        <v>70</v>
      </c>
      <c r="F142" s="281">
        <f>IF(INDEX('NZS O&amp;G and CA100'!$D$5:$D$193, MATCH('Company Scorecard - select'!$A142, 'NZS O&amp;G and CA100'!$B$5:$B$193, 0)) = "Disclosure", INDEX('NZS O&amp;G and CA100'!$E$5:$N$193, MATCH('Company Scorecard - select'!$A142, 'NZS O&amp;G and CA100'!$B$5:$B$193, 0),MATCH('Company Scorecard - select'!$C$5, 'NZS O&amp;G and CA100'!$E$3:$N$3, 0)),"")</f>
        <v>0</v>
      </c>
      <c r="G142" s="279"/>
      <c r="H142" s="281" t="str">
        <f>IF(OR(INDEX('NZS O&amp;G and CA100'!$D$5:$D$193, MATCH('Company Scorecard - select'!$A142, 'NZS O&amp;G and CA100'!$B$5:$B$193, 0)) = "Alignment", INDEX('NZS O&amp;G and CA100'!$D$5:$D$193, MATCH('Company Scorecard - select'!$A142, 'NZS O&amp;G and CA100'!$B$5:$B$193, 0)) = "Solutions (Al)"), INDEX('NZS O&amp;G and CA100'!$E$5:$N$193, MATCH('Company Scorecard - select'!$A142, 'NZS O&amp;G and CA100'!$B$5:$B$193, 0),MATCH('Company Scorecard - select'!$C$5, 'NZS O&amp;G and CA100'!$E$3:$N$3, 0)),"")</f>
        <v/>
      </c>
      <c r="I142" s="279"/>
      <c r="J142" s="281" t="str">
        <f>IF(OR(INDEX('NZS O&amp;G and CA100'!$D$5:$D$193, MATCH('Company Scorecard - select'!$A142, 'NZS O&amp;G and CA100'!$B$5:$B$193, 0)) = "Climate Solutions", INDEX('NZS O&amp;G and CA100'!$D$5:$D$193, MATCH('Company Scorecard - select'!$A142, 'NZS O&amp;G and CA100'!$B$5:$B$193, 0)) = "Solutions (Al)"), INDEX('NZS O&amp;G and CA100'!$E$5:$N$193, MATCH('Company Scorecard - select'!$A142, 'NZS O&amp;G and CA100'!$B$5:$B$193, 0),MATCH('Company Scorecard - select'!$C$5, 'NZS O&amp;G and CA100'!$E$3:$N$3, 0)),"")</f>
        <v/>
      </c>
      <c r="L142" s="294"/>
      <c r="N142" s="22" t="s">
        <v>76</v>
      </c>
      <c r="DQ142" s="24"/>
      <c r="DR142" s="24"/>
      <c r="DS142" s="24"/>
    </row>
    <row r="143" spans="1:123" s="22" customFormat="1" ht="15" customHeight="1" outlineLevel="2">
      <c r="A143" s="298" t="str">
        <f>LEFT(C143,FIND(":",C143)-1)</f>
        <v>6.iii.b</v>
      </c>
      <c r="B143" s="33"/>
      <c r="C143" s="97" t="s">
        <v>191</v>
      </c>
      <c r="D143" s="92" t="s">
        <v>70</v>
      </c>
      <c r="F143" s="281">
        <f>IF(INDEX('NZS O&amp;G and CA100'!$D$5:$D$193, MATCH('Company Scorecard - select'!$A143, 'NZS O&amp;G and CA100'!$B$5:$B$193, 0)) = "Disclosure", INDEX('NZS O&amp;G and CA100'!$E$5:$N$193, MATCH('Company Scorecard - select'!$A143, 'NZS O&amp;G and CA100'!$B$5:$B$193, 0),MATCH('Company Scorecard - select'!$C$5, 'NZS O&amp;G and CA100'!$E$3:$N$3, 0)),"")</f>
        <v>0</v>
      </c>
      <c r="G143" s="279"/>
      <c r="H143" s="281" t="str">
        <f>IF(OR(INDEX('NZS O&amp;G and CA100'!$D$5:$D$193, MATCH('Company Scorecard - select'!$A143, 'NZS O&amp;G and CA100'!$B$5:$B$193, 0)) = "Alignment", INDEX('NZS O&amp;G and CA100'!$D$5:$D$193, MATCH('Company Scorecard - select'!$A143, 'NZS O&amp;G and CA100'!$B$5:$B$193, 0)) = "Solutions (Al)"), INDEX('NZS O&amp;G and CA100'!$E$5:$N$193, MATCH('Company Scorecard - select'!$A143, 'NZS O&amp;G and CA100'!$B$5:$B$193, 0),MATCH('Company Scorecard - select'!$C$5, 'NZS O&amp;G and CA100'!$E$3:$N$3, 0)),"")</f>
        <v/>
      </c>
      <c r="I143" s="279"/>
      <c r="J143" s="281" t="str">
        <f>IF(OR(INDEX('NZS O&amp;G and CA100'!$D$5:$D$193, MATCH('Company Scorecard - select'!$A143, 'NZS O&amp;G and CA100'!$B$5:$B$193, 0)) = "Climate Solutions", INDEX('NZS O&amp;G and CA100'!$D$5:$D$193, MATCH('Company Scorecard - select'!$A143, 'NZS O&amp;G and CA100'!$B$5:$B$193, 0)) = "Solutions (Al)"), INDEX('NZS O&amp;G and CA100'!$E$5:$N$193, MATCH('Company Scorecard - select'!$A143, 'NZS O&amp;G and CA100'!$B$5:$B$193, 0),MATCH('Company Scorecard - select'!$C$5, 'NZS O&amp;G and CA100'!$E$3:$N$3, 0)),"")</f>
        <v/>
      </c>
      <c r="L143" s="294"/>
      <c r="N143" s="22" t="s">
        <v>76</v>
      </c>
      <c r="DQ143" s="24"/>
      <c r="DR143" s="24"/>
      <c r="DS143" s="24"/>
    </row>
    <row r="144" spans="1:123" s="22" customFormat="1" ht="7.5" customHeight="1" thickBot="1">
      <c r="A144" s="296"/>
      <c r="B144" s="34"/>
      <c r="C144" s="35" t="s">
        <v>81</v>
      </c>
      <c r="D144" s="29" t="s">
        <v>70</v>
      </c>
      <c r="E144" s="29"/>
      <c r="F144" s="282"/>
      <c r="G144" s="282"/>
      <c r="H144" s="282"/>
      <c r="I144" s="282"/>
      <c r="J144" s="283"/>
      <c r="K144" s="28"/>
      <c r="L144" s="295"/>
      <c r="N144" s="22" t="s">
        <v>76</v>
      </c>
      <c r="DQ144" s="24"/>
      <c r="DR144" s="24"/>
      <c r="DS144" s="24"/>
    </row>
    <row r="145" spans="1:123" ht="7.5" customHeight="1">
      <c r="A145" s="296"/>
      <c r="B145" s="30"/>
      <c r="D145" s="22" t="s">
        <v>70</v>
      </c>
      <c r="F145" s="279"/>
      <c r="G145" s="279"/>
      <c r="H145" s="279"/>
      <c r="I145" s="279"/>
      <c r="J145" s="279"/>
      <c r="K145" s="86"/>
      <c r="L145" s="294"/>
      <c r="N145" s="22" t="s">
        <v>76</v>
      </c>
      <c r="O145" s="22"/>
    </row>
    <row r="146" spans="1:123" s="22" customFormat="1" ht="15" customHeight="1">
      <c r="A146" s="297">
        <v>7</v>
      </c>
      <c r="B146" s="32"/>
      <c r="C146" s="101" t="s">
        <v>192</v>
      </c>
      <c r="D146" s="92" t="s">
        <v>64</v>
      </c>
      <c r="F146" s="278">
        <f>SUM(F148,F152)/COUNT(F148,F152)</f>
        <v>0.58333333333333326</v>
      </c>
      <c r="G146" s="279"/>
      <c r="H146" s="279"/>
      <c r="I146" s="279"/>
      <c r="J146" s="279"/>
      <c r="L146" s="294"/>
      <c r="N146" s="22" t="s">
        <v>76</v>
      </c>
      <c r="DQ146" s="24"/>
      <c r="DR146" s="24"/>
      <c r="DS146" s="24"/>
    </row>
    <row r="147" spans="1:123" s="22" customFormat="1" ht="15" customHeight="1">
      <c r="A147" s="297"/>
      <c r="B147" s="32"/>
      <c r="C147" s="104"/>
      <c r="D147" s="92"/>
      <c r="F147" s="278"/>
      <c r="G147" s="279"/>
      <c r="H147" s="278"/>
      <c r="I147" s="279"/>
      <c r="J147" s="278"/>
      <c r="L147" s="294"/>
      <c r="N147" s="22" t="s">
        <v>76</v>
      </c>
      <c r="DQ147" s="24"/>
      <c r="DR147" s="24"/>
      <c r="DS147" s="24"/>
    </row>
    <row r="148" spans="1:123" s="22" customFormat="1" ht="15" customHeight="1" outlineLevel="1">
      <c r="A148" s="297">
        <v>7.1</v>
      </c>
      <c r="B148" s="32"/>
      <c r="C148" s="98" t="s">
        <v>193</v>
      </c>
      <c r="D148" s="94" t="s">
        <v>64</v>
      </c>
      <c r="F148" s="280">
        <f>SUM(F149:F151)/COUNT(F149:F151)</f>
        <v>0.66666666666666663</v>
      </c>
      <c r="G148" s="279"/>
      <c r="H148" s="279"/>
      <c r="I148" s="279"/>
      <c r="J148" s="279"/>
      <c r="L148" s="294"/>
      <c r="N148" s="22" t="s">
        <v>76</v>
      </c>
      <c r="DQ148" s="24"/>
      <c r="DR148" s="24"/>
      <c r="DS148" s="24"/>
    </row>
    <row r="149" spans="1:123" s="22" customFormat="1" ht="15" customHeight="1" outlineLevel="2">
      <c r="A149" s="298" t="s">
        <v>194</v>
      </c>
      <c r="B149" s="32"/>
      <c r="C149" s="99" t="s">
        <v>195</v>
      </c>
      <c r="D149" s="94" t="s">
        <v>67</v>
      </c>
      <c r="F149" s="280">
        <f>IF(INDEX('NZS O&amp;G and CA100'!$D$5:$D$193, MATCH('Company Scorecard - select'!$A149, 'NZS O&amp;G and CA100'!$B$5:$B$193, 0)) = "Disclosure", INDEX('NZS O&amp;G and CA100'!$E$5:$N$193, MATCH('Company Scorecard - select'!$A149, 'NZS O&amp;G and CA100'!$B$5:$B$193, 0),MATCH('Company Scorecard - select'!$C$5, 'NZS O&amp;G and CA100'!$E$3:$N$3, 0)),"N/A")</f>
        <v>1</v>
      </c>
      <c r="G149" s="279"/>
      <c r="H149" s="281" t="str">
        <f>IF(OR(INDEX('NZS O&amp;G and CA100'!$D$5:$D$193, MATCH('Company Scorecard - select'!$A149, 'NZS O&amp;G and CA100'!$B$5:$B$193, 0)) = "Alignment", INDEX('NZS O&amp;G and CA100'!$D$5:$D$193, MATCH('Company Scorecard - select'!$A149, 'NZS O&amp;G and CA100'!$B$5:$B$193, 0)) = "Solutions (Al)"), INDEX('NZS O&amp;G and CA100'!$E$5:$N$193, MATCH('Company Scorecard - select'!$A149, 'NZS O&amp;G and CA100'!$B$5:$B$193, 0),MATCH('Company Scorecard - select'!$C$5, 'NZS O&amp;G and CA100'!$E$3:$N$3, 0)),"")</f>
        <v/>
      </c>
      <c r="I149" s="279"/>
      <c r="J149" s="279"/>
      <c r="L149" s="294"/>
      <c r="N149" s="22" t="s">
        <v>76</v>
      </c>
      <c r="DQ149" s="24"/>
      <c r="DR149" s="24"/>
      <c r="DS149" s="24"/>
    </row>
    <row r="150" spans="1:123" s="22" customFormat="1" ht="15" customHeight="1" outlineLevel="2">
      <c r="A150" s="298" t="s">
        <v>196</v>
      </c>
      <c r="B150" s="32"/>
      <c r="C150" s="99" t="s">
        <v>197</v>
      </c>
      <c r="D150" s="94" t="s">
        <v>69</v>
      </c>
      <c r="F150" s="280">
        <f>IF(INDEX('NZS O&amp;G and CA100'!$D$5:$D$193, MATCH('Company Scorecard - select'!$A150, 'NZS O&amp;G and CA100'!$B$5:$B$193, 0)) = "Disclosure", INDEX('NZS O&amp;G and CA100'!$E$5:$N$193, MATCH('Company Scorecard - select'!$A150, 'NZS O&amp;G and CA100'!$B$5:$B$193, 0),MATCH('Company Scorecard - select'!$C$5, 'NZS O&amp;G and CA100'!$E$3:$N$3, 0)),"N/A")</f>
        <v>1</v>
      </c>
      <c r="G150" s="279"/>
      <c r="H150" s="281" t="str">
        <f>IF(OR(INDEX('NZS O&amp;G and CA100'!$D$5:$D$193, MATCH('Company Scorecard - select'!$A150, 'NZS O&amp;G and CA100'!$B$5:$B$193, 0)) = "Alignment", INDEX('NZS O&amp;G and CA100'!$D$5:$D$193, MATCH('Company Scorecard - select'!$A150, 'NZS O&amp;G and CA100'!$B$5:$B$193, 0)) = "Solutions (Al)"), INDEX('NZS O&amp;G and CA100'!$E$5:$N$193, MATCH('Company Scorecard - select'!$A150, 'NZS O&amp;G and CA100'!$B$5:$B$193, 0),MATCH('Company Scorecard - select'!$C$5, 'NZS O&amp;G and CA100'!$E$3:$N$3, 0)),"")</f>
        <v/>
      </c>
      <c r="I150" s="279"/>
      <c r="J150" s="279"/>
      <c r="L150" s="294"/>
      <c r="N150" s="22" t="s">
        <v>76</v>
      </c>
      <c r="DQ150" s="24"/>
      <c r="DR150" s="24"/>
      <c r="DS150" s="24"/>
    </row>
    <row r="151" spans="1:123" s="22" customFormat="1" ht="15" customHeight="1" outlineLevel="2">
      <c r="A151" s="298" t="s">
        <v>198</v>
      </c>
      <c r="B151" s="32"/>
      <c r="C151" s="99" t="s">
        <v>199</v>
      </c>
      <c r="D151" s="94" t="s">
        <v>69</v>
      </c>
      <c r="F151" s="280">
        <f>IF(INDEX('NZS O&amp;G and CA100'!$D$5:$D$193, MATCH('Company Scorecard - select'!$A151, 'NZS O&amp;G and CA100'!$B$5:$B$193, 0)) = "Disclosure", INDEX('NZS O&amp;G and CA100'!$E$5:$N$193, MATCH('Company Scorecard - select'!$A151, 'NZS O&amp;G and CA100'!$B$5:$B$193, 0),MATCH('Company Scorecard - select'!$C$5, 'NZS O&amp;G and CA100'!$E$3:$N$3, 0)),"N/A")</f>
        <v>0</v>
      </c>
      <c r="G151" s="279"/>
      <c r="H151" s="281" t="str">
        <f>IF(OR(INDEX('NZS O&amp;G and CA100'!$D$5:$D$193, MATCH('Company Scorecard - select'!$A151, 'NZS O&amp;G and CA100'!$B$5:$B$193, 0)) = "Alignment", INDEX('NZS O&amp;G and CA100'!$D$5:$D$193, MATCH('Company Scorecard - select'!$A151, 'NZS O&amp;G and CA100'!$B$5:$B$193, 0)) = "Solutions (Al)"), INDEX('NZS O&amp;G and CA100'!$E$5:$N$193, MATCH('Company Scorecard - select'!$A151, 'NZS O&amp;G and CA100'!$B$5:$B$193, 0),MATCH('Company Scorecard - select'!$C$5, 'NZS O&amp;G and CA100'!$E$3:$N$3, 0)),"")</f>
        <v/>
      </c>
      <c r="I151" s="279"/>
      <c r="J151" s="279"/>
      <c r="L151" s="294"/>
      <c r="N151" s="22" t="s">
        <v>76</v>
      </c>
      <c r="DQ151" s="24"/>
      <c r="DR151" s="24"/>
      <c r="DS151" s="24"/>
    </row>
    <row r="152" spans="1:123" s="22" customFormat="1" ht="15" customHeight="1" outlineLevel="1">
      <c r="A152" s="297">
        <v>7.2</v>
      </c>
      <c r="B152" s="32"/>
      <c r="C152" s="98" t="s">
        <v>200</v>
      </c>
      <c r="D152" s="94" t="s">
        <v>69</v>
      </c>
      <c r="F152" s="280">
        <f>SUM(F153:F154)/COUNT(F153:F154)</f>
        <v>0.5</v>
      </c>
      <c r="G152" s="279"/>
      <c r="H152" s="281" t="str">
        <f>IF(OR(INDEX('NZS O&amp;G and CA100'!$D$5:$D$193, MATCH('Company Scorecard - select'!$A152, 'NZS O&amp;G and CA100'!$B$5:$B$193, 0)) = "Alignment", INDEX('NZS O&amp;G and CA100'!$D$5:$D$193, MATCH('Company Scorecard - select'!$A152, 'NZS O&amp;G and CA100'!$B$5:$B$193, 0)) = "Solutions (Al)"), INDEX('NZS O&amp;G and CA100'!$E$5:$N$193, MATCH('Company Scorecard - select'!$A152, 'NZS O&amp;G and CA100'!$B$5:$B$193, 0),MATCH('Company Scorecard - select'!$C$5, 'NZS O&amp;G and CA100'!$E$3:$N$3, 0)),"")</f>
        <v/>
      </c>
      <c r="I152" s="279"/>
      <c r="J152" s="279"/>
      <c r="L152" s="294"/>
      <c r="N152" s="22" t="s">
        <v>76</v>
      </c>
      <c r="DQ152" s="24"/>
      <c r="DR152" s="24"/>
      <c r="DS152" s="24"/>
    </row>
    <row r="153" spans="1:123" s="22" customFormat="1" ht="15" customHeight="1" outlineLevel="2">
      <c r="A153" s="298" t="s">
        <v>201</v>
      </c>
      <c r="B153" s="32"/>
      <c r="C153" s="99" t="s">
        <v>202</v>
      </c>
      <c r="D153" s="94" t="s">
        <v>69</v>
      </c>
      <c r="F153" s="281">
        <f>IF(INDEX('NZS O&amp;G and CA100'!$D$5:$D$193, MATCH('Company Scorecard - select'!$A153, 'NZS O&amp;G and CA100'!$B$5:$B$193, 0)) = "Disclosure", INDEX('NZS O&amp;G and CA100'!$E$5:$N$193, MATCH('Company Scorecard - select'!$A153, 'NZS O&amp;G and CA100'!$B$5:$B$193, 0),MATCH('Company Scorecard - select'!$C$5, 'NZS O&amp;G and CA100'!$E$3:$N$3, 0)),"N/A")</f>
        <v>0</v>
      </c>
      <c r="G153" s="279"/>
      <c r="H153" s="281" t="str">
        <f>IF(OR(INDEX('NZS O&amp;G and CA100'!$D$5:$D$193, MATCH('Company Scorecard - select'!$A153, 'NZS O&amp;G and CA100'!$B$5:$B$193, 0)) = "Alignment", INDEX('NZS O&amp;G and CA100'!$D$5:$D$193, MATCH('Company Scorecard - select'!$A153, 'NZS O&amp;G and CA100'!$B$5:$B$193, 0)) = "Solutions (Al)"), INDEX('NZS O&amp;G and CA100'!$E$5:$N$193, MATCH('Company Scorecard - select'!$A153, 'NZS O&amp;G and CA100'!$B$5:$B$193, 0),MATCH('Company Scorecard - select'!$C$5, 'NZS O&amp;G and CA100'!$E$3:$N$3, 0)),"")</f>
        <v/>
      </c>
      <c r="I153" s="279"/>
      <c r="J153" s="279"/>
      <c r="L153" s="294"/>
      <c r="N153" s="22" t="s">
        <v>76</v>
      </c>
      <c r="DQ153" s="24"/>
      <c r="DR153" s="24"/>
      <c r="DS153" s="24"/>
    </row>
    <row r="154" spans="1:123" s="22" customFormat="1" ht="15" customHeight="1" outlineLevel="2">
      <c r="A154" s="298" t="s">
        <v>203</v>
      </c>
      <c r="B154" s="32"/>
      <c r="C154" s="99" t="s">
        <v>204</v>
      </c>
      <c r="D154" s="94" t="s">
        <v>69</v>
      </c>
      <c r="F154" s="281">
        <f>IF(INDEX('NZS O&amp;G and CA100'!$D$5:$D$193, MATCH('Company Scorecard - select'!$A154, 'NZS O&amp;G and CA100'!$B$5:$B$193, 0)) = "Disclosure", INDEX('NZS O&amp;G and CA100'!$E$5:$N$193, MATCH('Company Scorecard - select'!$A154, 'NZS O&amp;G and CA100'!$B$5:$B$193, 0),MATCH('Company Scorecard - select'!$C$5, 'NZS O&amp;G and CA100'!$E$3:$N$3, 0)),"N/A")</f>
        <v>1</v>
      </c>
      <c r="G154" s="279"/>
      <c r="H154" s="281" t="str">
        <f>IF(OR(INDEX('NZS O&amp;G and CA100'!$D$5:$D$193, MATCH('Company Scorecard - select'!$A154, 'NZS O&amp;G and CA100'!$B$5:$B$193, 0)) = "Alignment", INDEX('NZS O&amp;G and CA100'!$D$5:$D$193, MATCH('Company Scorecard - select'!$A154, 'NZS O&amp;G and CA100'!$B$5:$B$193, 0)) = "Solutions (Al)"), INDEX('NZS O&amp;G and CA100'!$E$5:$N$193, MATCH('Company Scorecard - select'!$A154, 'NZS O&amp;G and CA100'!$B$5:$B$193, 0),MATCH('Company Scorecard - select'!$C$5, 'NZS O&amp;G and CA100'!$E$3:$N$3, 0)),"")</f>
        <v/>
      </c>
      <c r="I154" s="279"/>
      <c r="J154" s="279"/>
      <c r="L154" s="294"/>
      <c r="N154" s="22" t="s">
        <v>76</v>
      </c>
      <c r="DQ154" s="24"/>
      <c r="DR154" s="24"/>
      <c r="DS154" s="24"/>
    </row>
    <row r="155" spans="1:123" s="22" customFormat="1" ht="7.5" customHeight="1" thickBot="1">
      <c r="A155" s="296"/>
      <c r="B155" s="34"/>
      <c r="C155" s="35" t="s">
        <v>81</v>
      </c>
      <c r="D155" s="29" t="s">
        <v>70</v>
      </c>
      <c r="E155" s="29"/>
      <c r="F155" s="282"/>
      <c r="G155" s="282"/>
      <c r="H155" s="282"/>
      <c r="I155" s="282"/>
      <c r="J155" s="283"/>
      <c r="K155" s="28"/>
      <c r="L155" s="295"/>
      <c r="N155" s="22" t="s">
        <v>76</v>
      </c>
      <c r="DQ155" s="24"/>
      <c r="DR155" s="24"/>
      <c r="DS155" s="24"/>
    </row>
    <row r="156" spans="1:123" ht="7.5" customHeight="1">
      <c r="A156" s="296"/>
      <c r="B156" s="30"/>
      <c r="D156" s="22" t="s">
        <v>70</v>
      </c>
      <c r="F156" s="279"/>
      <c r="G156" s="279"/>
      <c r="H156" s="279"/>
      <c r="I156" s="279"/>
      <c r="J156" s="279"/>
      <c r="K156" s="86"/>
      <c r="L156" s="294"/>
      <c r="N156" s="22" t="s">
        <v>76</v>
      </c>
      <c r="O156" s="22"/>
    </row>
    <row r="157" spans="1:123" s="22" customFormat="1" ht="15" customHeight="1">
      <c r="A157" s="297">
        <v>8</v>
      </c>
      <c r="B157" s="32"/>
      <c r="C157" s="101" t="s">
        <v>205</v>
      </c>
      <c r="D157" s="92" t="s">
        <v>64</v>
      </c>
      <c r="F157" s="278">
        <f>SUM(F159,F162,F165)/COUNT(F159,F162,F165)</f>
        <v>1</v>
      </c>
      <c r="G157" s="279"/>
      <c r="H157" s="279"/>
      <c r="I157" s="279"/>
      <c r="J157" s="279"/>
      <c r="L157" s="294"/>
      <c r="N157" s="22" t="s">
        <v>76</v>
      </c>
      <c r="DQ157" s="24"/>
      <c r="DR157" s="24"/>
      <c r="DS157" s="24"/>
    </row>
    <row r="158" spans="1:123" s="22" customFormat="1" ht="15" customHeight="1">
      <c r="A158" s="297"/>
      <c r="B158" s="32"/>
      <c r="C158" s="105"/>
      <c r="D158" s="92"/>
      <c r="F158" s="278"/>
      <c r="G158" s="279"/>
      <c r="H158" s="278"/>
      <c r="I158" s="279"/>
      <c r="J158" s="278"/>
      <c r="L158" s="294"/>
      <c r="N158" s="22" t="s">
        <v>76</v>
      </c>
      <c r="DQ158" s="24"/>
      <c r="DR158" s="24"/>
      <c r="DS158" s="24"/>
    </row>
    <row r="159" spans="1:123" s="22" customFormat="1" ht="15" customHeight="1" outlineLevel="1">
      <c r="A159" s="297">
        <v>8.1</v>
      </c>
      <c r="B159" s="32"/>
      <c r="C159" s="98" t="s">
        <v>206</v>
      </c>
      <c r="D159" s="94" t="s">
        <v>64</v>
      </c>
      <c r="F159" s="280">
        <f>SUM(F160:F161)/COUNT(F160:F161)</f>
        <v>1</v>
      </c>
      <c r="G159" s="279"/>
      <c r="H159" s="279"/>
      <c r="I159" s="279"/>
      <c r="J159" s="279"/>
      <c r="L159" s="294"/>
      <c r="N159" s="22" t="s">
        <v>76</v>
      </c>
      <c r="DQ159" s="24"/>
      <c r="DR159" s="24"/>
      <c r="DS159" s="24"/>
    </row>
    <row r="160" spans="1:123" s="22" customFormat="1" ht="15" customHeight="1" outlineLevel="2">
      <c r="A160" s="298" t="str">
        <f>LEFT(C160,FIND(":",C160)-1)</f>
        <v>8.1.a</v>
      </c>
      <c r="B160" s="32"/>
      <c r="C160" s="99" t="s">
        <v>207</v>
      </c>
      <c r="D160" s="94" t="s">
        <v>67</v>
      </c>
      <c r="F160" s="280">
        <f>IF(INDEX('NZS O&amp;G and CA100'!$D$5:$D$193, MATCH('Company Scorecard - select'!$A160, 'NZS O&amp;G and CA100'!$B$5:$B$193, 0)) = "Disclosure", INDEX('NZS O&amp;G and CA100'!$E$5:$N$193, MATCH('Company Scorecard - select'!$A160, 'NZS O&amp;G and CA100'!$B$5:$B$193, 0),MATCH('Company Scorecard - select'!$C$5, 'NZS O&amp;G and CA100'!$E$3:$N$3, 0)),"N/A")</f>
        <v>1</v>
      </c>
      <c r="G160" s="279"/>
      <c r="H160" s="281" t="str">
        <f>IF(OR(INDEX('NZS O&amp;G and CA100'!$D$5:$D$193, MATCH('Company Scorecard - select'!$A160, 'NZS O&amp;G and CA100'!$B$5:$B$193, 0)) = "Alignment", INDEX('NZS O&amp;G and CA100'!$D$5:$D$193, MATCH('Company Scorecard - select'!$A160, 'NZS O&amp;G and CA100'!$B$5:$B$193, 0)) = "Solutions (Al)"), INDEX('NZS O&amp;G and CA100'!$E$5:$N$193, MATCH('Company Scorecard - select'!$A160, 'NZS O&amp;G and CA100'!$B$5:$B$193, 0),MATCH('Company Scorecard - select'!$C$5, 'NZS O&amp;G and CA100'!$E$3:$N$3, 0)),"")</f>
        <v/>
      </c>
      <c r="I160" s="279"/>
      <c r="J160" s="279"/>
      <c r="L160" s="294"/>
      <c r="N160" s="22" t="s">
        <v>76</v>
      </c>
      <c r="DQ160" s="24"/>
      <c r="DR160" s="24"/>
      <c r="DS160" s="24"/>
    </row>
    <row r="161" spans="1:123" s="22" customFormat="1" ht="15" customHeight="1" outlineLevel="2">
      <c r="A161" s="298" t="str">
        <f>LEFT(C161,FIND(":",C161)-1)</f>
        <v>8.1.b</v>
      </c>
      <c r="B161" s="32"/>
      <c r="C161" s="99" t="s">
        <v>208</v>
      </c>
      <c r="D161" s="94" t="s">
        <v>69</v>
      </c>
      <c r="F161" s="280">
        <f>IF(INDEX('NZS O&amp;G and CA100'!$D$5:$D$193, MATCH('Company Scorecard - select'!$A161, 'NZS O&amp;G and CA100'!$B$5:$B$193, 0)) = "Disclosure", INDEX('NZS O&amp;G and CA100'!$E$5:$N$193, MATCH('Company Scorecard - select'!$A161, 'NZS O&amp;G and CA100'!$B$5:$B$193, 0),MATCH('Company Scorecard - select'!$C$5, 'NZS O&amp;G and CA100'!$E$3:$N$3, 0)),"N/A")</f>
        <v>1</v>
      </c>
      <c r="G161" s="279"/>
      <c r="H161" s="281" t="str">
        <f>IF(OR(INDEX('NZS O&amp;G and CA100'!$D$5:$D$193, MATCH('Company Scorecard - select'!$A161, 'NZS O&amp;G and CA100'!$B$5:$B$193, 0)) = "Alignment", INDEX('NZS O&amp;G and CA100'!$D$5:$D$193, MATCH('Company Scorecard - select'!$A161, 'NZS O&amp;G and CA100'!$B$5:$B$193, 0)) = "Solutions (Al)"), INDEX('NZS O&amp;G and CA100'!$E$5:$N$193, MATCH('Company Scorecard - select'!$A161, 'NZS O&amp;G and CA100'!$B$5:$B$193, 0),MATCH('Company Scorecard - select'!$C$5, 'NZS O&amp;G and CA100'!$E$3:$N$3, 0)),"")</f>
        <v/>
      </c>
      <c r="I161" s="279"/>
      <c r="J161" s="279"/>
      <c r="L161" s="294"/>
      <c r="N161" s="22" t="s">
        <v>76</v>
      </c>
      <c r="DQ161" s="24"/>
      <c r="DR161" s="24"/>
      <c r="DS161" s="24"/>
    </row>
    <row r="162" spans="1:123" s="22" customFormat="1" ht="15" customHeight="1" outlineLevel="1">
      <c r="A162" s="297">
        <v>8.1999999999999993</v>
      </c>
      <c r="B162" s="32"/>
      <c r="C162" s="98" t="s">
        <v>209</v>
      </c>
      <c r="D162" s="94" t="s">
        <v>69</v>
      </c>
      <c r="E162" s="26"/>
      <c r="F162" s="280">
        <f>SUM(F163:F164)/COUNT(F163:F164)</f>
        <v>1</v>
      </c>
      <c r="G162" s="290"/>
      <c r="H162" s="291" t="str">
        <f>IF(OR(INDEX('NZS O&amp;G and CA100'!$D$5:$D$193, MATCH('Company Scorecard - select'!$A162, 'NZS O&amp;G and CA100'!$B$5:$B$193, 0)) = "Alignment", INDEX('NZS O&amp;G and CA100'!$D$5:$D$193, MATCH('Company Scorecard - select'!$A162, 'NZS O&amp;G and CA100'!$B$5:$B$193, 0)) = "Solutions (Al)"), INDEX('NZS O&amp;G and CA100'!$E$5:$N$193, MATCH('Company Scorecard - select'!$A162, 'NZS O&amp;G and CA100'!$B$5:$B$193, 0),MATCH('Company Scorecard - select'!$C$5, 'NZS O&amp;G and CA100'!$E$3:$N$3, 0)),"")</f>
        <v/>
      </c>
      <c r="I162" s="279"/>
      <c r="J162" s="279"/>
      <c r="L162" s="294"/>
      <c r="N162" s="22" t="s">
        <v>76</v>
      </c>
      <c r="DQ162" s="24"/>
      <c r="DR162" s="24"/>
      <c r="DS162" s="24"/>
    </row>
    <row r="163" spans="1:123" s="22" customFormat="1" ht="15" customHeight="1" outlineLevel="2">
      <c r="A163" s="298" t="str">
        <f>LEFT(C163,FIND(":",C163)-1)</f>
        <v>8.2.a</v>
      </c>
      <c r="B163" s="32"/>
      <c r="C163" s="99" t="s">
        <v>210</v>
      </c>
      <c r="D163" s="94" t="s">
        <v>69</v>
      </c>
      <c r="F163" s="280">
        <f>IF(INDEX('NZS O&amp;G and CA100'!$D$5:$D$193, MATCH('Company Scorecard - select'!$A163, 'NZS O&amp;G and CA100'!$B$5:$B$193, 0)) = "Disclosure", INDEX('NZS O&amp;G and CA100'!$E$5:$N$193, MATCH('Company Scorecard - select'!$A163, 'NZS O&amp;G and CA100'!$B$5:$B$193, 0),MATCH('Company Scorecard - select'!$C$5, 'NZS O&amp;G and CA100'!$E$3:$N$3, 0)),"N/A")</f>
        <v>1</v>
      </c>
      <c r="G163" s="279"/>
      <c r="H163" s="281" t="str">
        <f>IF(OR(INDEX('NZS O&amp;G and CA100'!$D$5:$D$193, MATCH('Company Scorecard - select'!$A163, 'NZS O&amp;G and CA100'!$B$5:$B$193, 0)) = "Alignment", INDEX('NZS O&amp;G and CA100'!$D$5:$D$193, MATCH('Company Scorecard - select'!$A163, 'NZS O&amp;G and CA100'!$B$5:$B$193, 0)) = "Solutions (Al)"), INDEX('NZS O&amp;G and CA100'!$E$5:$N$193, MATCH('Company Scorecard - select'!$A163, 'NZS O&amp;G and CA100'!$B$5:$B$193, 0),MATCH('Company Scorecard - select'!$C$5, 'NZS O&amp;G and CA100'!$E$3:$N$3, 0)),"")</f>
        <v/>
      </c>
      <c r="I163" s="279"/>
      <c r="J163" s="279"/>
      <c r="L163" s="294"/>
      <c r="N163" s="22" t="s">
        <v>76</v>
      </c>
      <c r="DQ163" s="24"/>
      <c r="DR163" s="24"/>
      <c r="DS163" s="24"/>
    </row>
    <row r="164" spans="1:123" s="22" customFormat="1" ht="15" customHeight="1" outlineLevel="2">
      <c r="A164" s="298" t="str">
        <f>LEFT(C164,FIND(":",C164)-1)</f>
        <v>8.2.b</v>
      </c>
      <c r="B164" s="32"/>
      <c r="C164" s="99" t="s">
        <v>211</v>
      </c>
      <c r="D164" s="94" t="s">
        <v>69</v>
      </c>
      <c r="F164" s="280">
        <f>IF(INDEX('NZS O&amp;G and CA100'!$D$5:$D$193, MATCH('Company Scorecard - select'!$A164, 'NZS O&amp;G and CA100'!$B$5:$B$193, 0)) = "Disclosure", INDEX('NZS O&amp;G and CA100'!$E$5:$N$193, MATCH('Company Scorecard - select'!$A164, 'NZS O&amp;G and CA100'!$B$5:$B$193, 0),MATCH('Company Scorecard - select'!$C$5, 'NZS O&amp;G and CA100'!$E$3:$N$3, 0)),"N/A")</f>
        <v>1</v>
      </c>
      <c r="G164" s="279"/>
      <c r="H164" s="281" t="str">
        <f>IF(OR(INDEX('NZS O&amp;G and CA100'!$D$5:$D$193, MATCH('Company Scorecard - select'!$A164, 'NZS O&amp;G and CA100'!$B$5:$B$193, 0)) = "Alignment", INDEX('NZS O&amp;G and CA100'!$D$5:$D$193, MATCH('Company Scorecard - select'!$A164, 'NZS O&amp;G and CA100'!$B$5:$B$193, 0)) = "Solutions (Al)"), INDEX('NZS O&amp;G and CA100'!$E$5:$N$193, MATCH('Company Scorecard - select'!$A164, 'NZS O&amp;G and CA100'!$B$5:$B$193, 0),MATCH('Company Scorecard - select'!$C$5, 'NZS O&amp;G and CA100'!$E$3:$N$3, 0)),"")</f>
        <v/>
      </c>
      <c r="I164" s="279"/>
      <c r="J164" s="279"/>
      <c r="L164" s="294"/>
      <c r="N164" s="22" t="s">
        <v>76</v>
      </c>
      <c r="DQ164" s="24"/>
      <c r="DR164" s="24"/>
      <c r="DS164" s="24"/>
    </row>
    <row r="165" spans="1:123" s="22" customFormat="1" ht="15" customHeight="1" outlineLevel="1">
      <c r="A165" s="297">
        <v>8.3000000000000007</v>
      </c>
      <c r="B165" s="32"/>
      <c r="C165" s="98" t="s">
        <v>212</v>
      </c>
      <c r="D165" s="94" t="s">
        <v>69</v>
      </c>
      <c r="E165" s="26"/>
      <c r="F165" s="280">
        <f>SUM(F166:F167)/COUNT(F166:F167)</f>
        <v>1</v>
      </c>
      <c r="G165" s="290"/>
      <c r="H165" s="291" t="str">
        <f>IF(OR(INDEX('NZS O&amp;G and CA100'!$D$5:$D$193, MATCH('Company Scorecard - select'!$A165, 'NZS O&amp;G and CA100'!$B$5:$B$193, 0)) = "Alignment", INDEX('NZS O&amp;G and CA100'!$D$5:$D$193, MATCH('Company Scorecard - select'!$A165, 'NZS O&amp;G and CA100'!$B$5:$B$193, 0)) = "Solutions (Al)"), INDEX('NZS O&amp;G and CA100'!$E$5:$N$193, MATCH('Company Scorecard - select'!$A165, 'NZS O&amp;G and CA100'!$B$5:$B$193, 0),MATCH('Company Scorecard - select'!$C$5, 'NZS O&amp;G and CA100'!$E$3:$N$3, 0)),"")</f>
        <v/>
      </c>
      <c r="I165" s="279"/>
      <c r="J165" s="279"/>
      <c r="L165" s="294"/>
      <c r="N165" s="22" t="s">
        <v>76</v>
      </c>
      <c r="DQ165" s="24"/>
      <c r="DR165" s="24"/>
      <c r="DS165" s="24"/>
    </row>
    <row r="166" spans="1:123" s="22" customFormat="1" ht="15" customHeight="1" outlineLevel="2">
      <c r="A166" s="299" t="str">
        <f>LEFT(C166,FIND(":",C166)-1)</f>
        <v>8.3.a</v>
      </c>
      <c r="B166" s="32"/>
      <c r="C166" s="99" t="s">
        <v>213</v>
      </c>
      <c r="D166" s="94" t="s">
        <v>69</v>
      </c>
      <c r="F166" s="281">
        <f>IF(INDEX('NZS O&amp;G and CA100'!$D$5:$D$193, MATCH('Company Scorecard - select'!$A166, 'NZS O&amp;G and CA100'!$B$5:$B$193, 0)) = "Disclosure", INDEX('NZS O&amp;G and CA100'!$E$5:$N$193, MATCH('Company Scorecard - select'!$A166, 'NZS O&amp;G and CA100'!$B$5:$B$193, 0),MATCH('Company Scorecard - select'!$C$5, 'NZS O&amp;G and CA100'!$E$3:$N$3, 0)),"N/A")</f>
        <v>1</v>
      </c>
      <c r="G166" s="279"/>
      <c r="H166" s="281" t="str">
        <f>IF(OR(INDEX('NZS O&amp;G and CA100'!$D$5:$D$193, MATCH('Company Scorecard - select'!$A166, 'NZS O&amp;G and CA100'!$B$5:$B$193, 0)) = "Alignment", INDEX('NZS O&amp;G and CA100'!$D$5:$D$193, MATCH('Company Scorecard - select'!$A166, 'NZS O&amp;G and CA100'!$B$5:$B$193, 0)) = "Solutions (Al)"), INDEX('NZS O&amp;G and CA100'!$E$5:$N$193, MATCH('Company Scorecard - select'!$A166, 'NZS O&amp;G and CA100'!$B$5:$B$193, 0),MATCH('Company Scorecard - select'!$C$5, 'NZS O&amp;G and CA100'!$E$3:$N$3, 0)),"")</f>
        <v/>
      </c>
      <c r="I166" s="279"/>
      <c r="J166" s="279"/>
      <c r="L166" s="294"/>
      <c r="N166" s="22" t="s">
        <v>76</v>
      </c>
      <c r="DQ166" s="24"/>
      <c r="DR166" s="24"/>
      <c r="DS166" s="24"/>
    </row>
    <row r="167" spans="1:123" s="22" customFormat="1" ht="15" customHeight="1" outlineLevel="2">
      <c r="A167" s="299" t="str">
        <f>LEFT(C167,FIND(":",C167)-1)</f>
        <v>8.3.b</v>
      </c>
      <c r="B167" s="32"/>
      <c r="C167" s="99" t="s">
        <v>214</v>
      </c>
      <c r="D167" s="94" t="s">
        <v>69</v>
      </c>
      <c r="F167" s="281">
        <f>IF(INDEX('NZS O&amp;G and CA100'!$D$5:$D$193, MATCH('Company Scorecard - select'!$A167, 'NZS O&amp;G and CA100'!$B$5:$B$193, 0)) = "Disclosure", INDEX('NZS O&amp;G and CA100'!$E$5:$N$193, MATCH('Company Scorecard - select'!$A167, 'NZS O&amp;G and CA100'!$B$5:$B$193, 0),MATCH('Company Scorecard - select'!$C$5, 'NZS O&amp;G and CA100'!$E$3:$N$3, 0)),"N/A")</f>
        <v>1</v>
      </c>
      <c r="G167" s="279"/>
      <c r="H167" s="281" t="str">
        <f>IF(OR(INDEX('NZS O&amp;G and CA100'!$D$5:$D$193, MATCH('Company Scorecard - select'!$A167, 'NZS O&amp;G and CA100'!$B$5:$B$193, 0)) = "Alignment", INDEX('NZS O&amp;G and CA100'!$D$5:$D$193, MATCH('Company Scorecard - select'!$A167, 'NZS O&amp;G and CA100'!$B$5:$B$193, 0)) = "Solutions (Al)"), INDEX('NZS O&amp;G and CA100'!$E$5:$N$193, MATCH('Company Scorecard - select'!$A167, 'NZS O&amp;G and CA100'!$B$5:$B$193, 0),MATCH('Company Scorecard - select'!$C$5, 'NZS O&amp;G and CA100'!$E$3:$N$3, 0)),"")</f>
        <v/>
      </c>
      <c r="I167" s="279"/>
      <c r="J167" s="279"/>
      <c r="L167" s="294"/>
      <c r="N167" s="22" t="s">
        <v>76</v>
      </c>
      <c r="DQ167" s="24"/>
      <c r="DR167" s="24"/>
      <c r="DS167" s="24"/>
    </row>
    <row r="168" spans="1:123" s="22" customFormat="1" ht="7.5" customHeight="1" thickBot="1">
      <c r="A168" s="296"/>
      <c r="B168" s="34"/>
      <c r="C168" s="35" t="s">
        <v>81</v>
      </c>
      <c r="D168" s="29" t="s">
        <v>70</v>
      </c>
      <c r="E168" s="29"/>
      <c r="F168" s="282"/>
      <c r="G168" s="282"/>
      <c r="H168" s="282"/>
      <c r="I168" s="282"/>
      <c r="J168" s="283"/>
      <c r="K168" s="28"/>
      <c r="L168" s="295"/>
      <c r="N168" s="22" t="s">
        <v>76</v>
      </c>
      <c r="DQ168" s="24"/>
      <c r="DR168" s="24"/>
      <c r="DS168" s="24"/>
    </row>
    <row r="169" spans="1:123" ht="7.5" customHeight="1">
      <c r="A169" s="296"/>
      <c r="B169" s="30"/>
      <c r="D169" s="22" t="s">
        <v>70</v>
      </c>
      <c r="F169" s="279"/>
      <c r="G169" s="279"/>
      <c r="H169" s="279"/>
      <c r="I169" s="279"/>
      <c r="J169" s="279"/>
      <c r="K169" s="86"/>
      <c r="L169" s="294"/>
      <c r="N169" s="22" t="s">
        <v>76</v>
      </c>
      <c r="O169" s="22"/>
    </row>
    <row r="170" spans="1:123" s="22" customFormat="1" ht="15" customHeight="1">
      <c r="A170" s="297">
        <v>9</v>
      </c>
      <c r="B170" s="32"/>
      <c r="C170" s="101" t="s">
        <v>215</v>
      </c>
      <c r="D170" s="92" t="s">
        <v>64</v>
      </c>
      <c r="F170" s="278">
        <f>SUM(F172,F176)/COUNT(F172,F176)</f>
        <v>0.33333333333333331</v>
      </c>
      <c r="G170" s="279"/>
      <c r="H170" s="279"/>
      <c r="I170" s="279"/>
      <c r="J170" s="279"/>
      <c r="L170" s="294"/>
      <c r="N170" s="22" t="s">
        <v>76</v>
      </c>
      <c r="DQ170" s="24"/>
      <c r="DR170" s="24"/>
      <c r="DS170" s="24"/>
    </row>
    <row r="171" spans="1:123" s="22" customFormat="1" ht="15" customHeight="1">
      <c r="A171" s="297"/>
      <c r="B171" s="32"/>
      <c r="C171" s="101"/>
      <c r="D171" s="92"/>
      <c r="F171" s="278"/>
      <c r="G171" s="279"/>
      <c r="H171" s="279"/>
      <c r="I171" s="279"/>
      <c r="J171" s="279"/>
      <c r="L171" s="294"/>
      <c r="N171" s="22" t="s">
        <v>76</v>
      </c>
      <c r="DQ171" s="24"/>
      <c r="DR171" s="24"/>
      <c r="DS171" s="24"/>
    </row>
    <row r="172" spans="1:123" s="22" customFormat="1" ht="15" customHeight="1" outlineLevel="1">
      <c r="A172" s="297">
        <v>9.1</v>
      </c>
      <c r="B172" s="32"/>
      <c r="C172" s="98" t="s">
        <v>216</v>
      </c>
      <c r="D172" s="94" t="s">
        <v>64</v>
      </c>
      <c r="F172" s="280">
        <f>SUM(F173:F175)/COUNT(F173:F175)</f>
        <v>0.66666666666666663</v>
      </c>
      <c r="G172" s="279"/>
      <c r="H172" s="279" t="str">
        <f>IF(OR(INDEX('NZS O&amp;G and CA100'!$D$5:$D$193, MATCH('Company Scorecard - select'!$A172, 'NZS O&amp;G and CA100'!$B$5:$B$193, 0)) = "Alignment", INDEX('NZS O&amp;G and CA100'!$D$5:$D$193, MATCH('Company Scorecard - select'!$A172, 'NZS O&amp;G and CA100'!$B$5:$B$193, 0)) = "Solutions (Al)"), INDEX('NZS O&amp;G and CA100'!$E$5:$N$193, MATCH('Company Scorecard - select'!$A172, 'NZS O&amp;G and CA100'!$B$5:$B$193, 0),MATCH('Company Scorecard - select'!$C$5, 'NZS O&amp;G and CA100'!$E$3:$N$3, 0)),"")</f>
        <v/>
      </c>
      <c r="I172" s="279"/>
      <c r="J172" s="279"/>
      <c r="L172" s="294"/>
      <c r="N172" s="22" t="s">
        <v>76</v>
      </c>
      <c r="DQ172" s="24"/>
      <c r="DR172" s="24"/>
      <c r="DS172" s="24"/>
    </row>
    <row r="173" spans="1:123" s="22" customFormat="1" ht="15" customHeight="1" outlineLevel="2">
      <c r="A173" s="298" t="str">
        <f>LEFT(C173,FIND(":",C173)-1)</f>
        <v>9.1.a</v>
      </c>
      <c r="B173" s="32"/>
      <c r="C173" s="99" t="s">
        <v>217</v>
      </c>
      <c r="D173" s="94" t="s">
        <v>67</v>
      </c>
      <c r="F173" s="280">
        <f>IF(INDEX('NZS O&amp;G and CA100'!$D$5:$D$193, MATCH('Company Scorecard - select'!$A173, 'NZS O&amp;G and CA100'!$B$5:$B$193, 0)) = "Disclosure", INDEX('NZS O&amp;G and CA100'!$E$5:$N$193, MATCH('Company Scorecard - select'!$A173, 'NZS O&amp;G and CA100'!$B$5:$B$193, 0),MATCH('Company Scorecard - select'!$C$5, 'NZS O&amp;G and CA100'!$E$3:$N$3, 0)),"N/A")</f>
        <v>1</v>
      </c>
      <c r="G173" s="279"/>
      <c r="H173" s="279" t="str">
        <f>IF(OR(INDEX('NZS O&amp;G and CA100'!$D$5:$D$193, MATCH('Company Scorecard - select'!$A173, 'NZS O&amp;G and CA100'!$B$5:$B$193, 0)) = "Alignment", INDEX('NZS O&amp;G and CA100'!$D$5:$D$193, MATCH('Company Scorecard - select'!$A173, 'NZS O&amp;G and CA100'!$B$5:$B$193, 0)) = "Solutions (Al)"), INDEX('NZS O&amp;G and CA100'!$E$5:$N$193, MATCH('Company Scorecard - select'!$A173, 'NZS O&amp;G and CA100'!$B$5:$B$193, 0),MATCH('Company Scorecard - select'!$C$5, 'NZS O&amp;G and CA100'!$E$3:$N$3, 0)),"")</f>
        <v/>
      </c>
      <c r="I173" s="279"/>
      <c r="J173" s="279"/>
      <c r="L173" s="294"/>
      <c r="N173" s="22" t="s">
        <v>76</v>
      </c>
      <c r="DQ173" s="24"/>
      <c r="DR173" s="24"/>
      <c r="DS173" s="24"/>
    </row>
    <row r="174" spans="1:123" s="22" customFormat="1" ht="15" customHeight="1" outlineLevel="2">
      <c r="A174" s="298" t="str">
        <f>LEFT(C174,FIND(":",C174)-1)</f>
        <v>9.1.b</v>
      </c>
      <c r="B174" s="32"/>
      <c r="C174" s="99" t="s">
        <v>218</v>
      </c>
      <c r="D174" s="94" t="s">
        <v>69</v>
      </c>
      <c r="F174" s="280">
        <f>IF(INDEX('NZS O&amp;G and CA100'!$D$5:$D$193, MATCH('Company Scorecard - select'!$A174, 'NZS O&amp;G and CA100'!$B$5:$B$193, 0)) = "Disclosure", INDEX('NZS O&amp;G and CA100'!$E$5:$N$193, MATCH('Company Scorecard - select'!$A174, 'NZS O&amp;G and CA100'!$B$5:$B$193, 0),MATCH('Company Scorecard - select'!$C$5, 'NZS O&amp;G and CA100'!$E$3:$N$3, 0)),"N/A")</f>
        <v>1</v>
      </c>
      <c r="G174" s="279"/>
      <c r="H174" s="279" t="str">
        <f>IF(OR(INDEX('NZS O&amp;G and CA100'!$D$5:$D$193, MATCH('Company Scorecard - select'!$A174, 'NZS O&amp;G and CA100'!$B$5:$B$193, 0)) = "Alignment", INDEX('NZS O&amp;G and CA100'!$D$5:$D$193, MATCH('Company Scorecard - select'!$A174, 'NZS O&amp;G and CA100'!$B$5:$B$193, 0)) = "Solutions (Al)"), INDEX('NZS O&amp;G and CA100'!$E$5:$N$193, MATCH('Company Scorecard - select'!$A174, 'NZS O&amp;G and CA100'!$B$5:$B$193, 0),MATCH('Company Scorecard - select'!$C$5, 'NZS O&amp;G and CA100'!$E$3:$N$3, 0)),"")</f>
        <v/>
      </c>
      <c r="I174" s="279"/>
      <c r="J174" s="279"/>
      <c r="L174" s="294"/>
      <c r="N174" s="22" t="s">
        <v>76</v>
      </c>
      <c r="DQ174" s="24"/>
      <c r="DR174" s="24"/>
      <c r="DS174" s="24"/>
    </row>
    <row r="175" spans="1:123" s="22" customFormat="1" ht="15" customHeight="1" outlineLevel="2">
      <c r="A175" s="298" t="str">
        <f>LEFT(C175,FIND(":",C175)-1)</f>
        <v>9.1.c</v>
      </c>
      <c r="B175" s="32"/>
      <c r="C175" s="99" t="s">
        <v>219</v>
      </c>
      <c r="D175" s="94" t="s">
        <v>69</v>
      </c>
      <c r="F175" s="280">
        <f>IF(INDEX('NZS O&amp;G and CA100'!$D$5:$D$193, MATCH('Company Scorecard - select'!$A175, 'NZS O&amp;G and CA100'!$B$5:$B$193, 0)) = "Disclosure", INDEX('NZS O&amp;G and CA100'!$E$5:$N$193, MATCH('Company Scorecard - select'!$A175, 'NZS O&amp;G and CA100'!$B$5:$B$193, 0),MATCH('Company Scorecard - select'!$C$5, 'NZS O&amp;G and CA100'!$E$3:$N$3, 0)),"N/A")</f>
        <v>0</v>
      </c>
      <c r="G175" s="279"/>
      <c r="H175" s="279" t="str">
        <f>IF(OR(INDEX('NZS O&amp;G and CA100'!$D$5:$D$193, MATCH('Company Scorecard - select'!$A175, 'NZS O&amp;G and CA100'!$B$5:$B$193, 0)) = "Alignment", INDEX('NZS O&amp;G and CA100'!$D$5:$D$193, MATCH('Company Scorecard - select'!$A175, 'NZS O&amp;G and CA100'!$B$5:$B$193, 0)) = "Solutions (Al)"), INDEX('NZS O&amp;G and CA100'!$E$5:$N$193, MATCH('Company Scorecard - select'!$A175, 'NZS O&amp;G and CA100'!$B$5:$B$193, 0),MATCH('Company Scorecard - select'!$C$5, 'NZS O&amp;G and CA100'!$E$3:$N$3, 0)),"")</f>
        <v/>
      </c>
      <c r="I175" s="279"/>
      <c r="J175" s="279"/>
      <c r="L175" s="294"/>
      <c r="N175" s="22" t="s">
        <v>76</v>
      </c>
      <c r="DQ175" s="24"/>
      <c r="DR175" s="24"/>
      <c r="DS175" s="24"/>
    </row>
    <row r="176" spans="1:123" s="22" customFormat="1" ht="15" customHeight="1" outlineLevel="1">
      <c r="A176" s="297">
        <v>9.1999999999999993</v>
      </c>
      <c r="B176" s="32"/>
      <c r="C176" s="98" t="s">
        <v>220</v>
      </c>
      <c r="D176" s="94" t="s">
        <v>69</v>
      </c>
      <c r="F176" s="280">
        <f>SUM(F177:F179)/COUNT(F177:F179)</f>
        <v>0</v>
      </c>
      <c r="G176" s="279"/>
      <c r="H176" s="279" t="str">
        <f>IF(OR(INDEX('NZS O&amp;G and CA100'!$D$5:$D$193, MATCH('Company Scorecard - select'!$A176, 'NZS O&amp;G and CA100'!$B$5:$B$193, 0)) = "Alignment", INDEX('NZS O&amp;G and CA100'!$D$5:$D$193, MATCH('Company Scorecard - select'!$A176, 'NZS O&amp;G and CA100'!$B$5:$B$193, 0)) = "Solutions (Al)"), INDEX('NZS O&amp;G and CA100'!$E$5:$N$193, MATCH('Company Scorecard - select'!$A176, 'NZS O&amp;G and CA100'!$B$5:$B$193, 0),MATCH('Company Scorecard - select'!$C$5, 'NZS O&amp;G and CA100'!$E$3:$N$3, 0)),"")</f>
        <v/>
      </c>
      <c r="I176" s="279"/>
      <c r="J176" s="279"/>
      <c r="L176" s="294"/>
      <c r="N176" s="22" t="s">
        <v>76</v>
      </c>
      <c r="DQ176" s="24"/>
      <c r="DR176" s="24"/>
      <c r="DS176" s="24"/>
    </row>
    <row r="177" spans="1:123" s="22" customFormat="1" ht="15" customHeight="1" outlineLevel="2">
      <c r="A177" s="298" t="str">
        <f>LEFT(C177,FIND(":",C177)-1)</f>
        <v>9.2.a</v>
      </c>
      <c r="B177" s="32"/>
      <c r="C177" s="99" t="s">
        <v>221</v>
      </c>
      <c r="D177" s="94" t="s">
        <v>69</v>
      </c>
      <c r="F177" s="281">
        <f>IF(INDEX('NZS O&amp;G and CA100'!$D$5:$D$193, MATCH('Company Scorecard - select'!$A177, 'NZS O&amp;G and CA100'!$B$5:$B$193, 0)) = "Disclosure", INDEX('NZS O&amp;G and CA100'!$E$5:$N$193, MATCH('Company Scorecard - select'!$A177, 'NZS O&amp;G and CA100'!$B$5:$B$193, 0),MATCH('Company Scorecard - select'!$C$5, 'NZS O&amp;G and CA100'!$E$3:$N$3, 0)),"N/A")</f>
        <v>0</v>
      </c>
      <c r="G177" s="279"/>
      <c r="H177" s="279" t="str">
        <f>IF(OR(INDEX('NZS O&amp;G and CA100'!$D$5:$D$193, MATCH('Company Scorecard - select'!$A177, 'NZS O&amp;G and CA100'!$B$5:$B$193, 0)) = "Alignment", INDEX('NZS O&amp;G and CA100'!$D$5:$D$193, MATCH('Company Scorecard - select'!$A177, 'NZS O&amp;G and CA100'!$B$5:$B$193, 0)) = "Solutions (Al)"), INDEX('NZS O&amp;G and CA100'!$E$5:$N$193, MATCH('Company Scorecard - select'!$A177, 'NZS O&amp;G and CA100'!$B$5:$B$193, 0),MATCH('Company Scorecard - select'!$C$5, 'NZS O&amp;G and CA100'!$E$3:$N$3, 0)),"")</f>
        <v/>
      </c>
      <c r="I177" s="279"/>
      <c r="J177" s="279"/>
      <c r="L177" s="294"/>
      <c r="N177" s="22" t="s">
        <v>76</v>
      </c>
      <c r="DQ177" s="24"/>
      <c r="DR177" s="24"/>
      <c r="DS177" s="24"/>
    </row>
    <row r="178" spans="1:123" s="22" customFormat="1" ht="15" customHeight="1" outlineLevel="2">
      <c r="A178" s="298" t="str">
        <f>LEFT(C178,FIND(":",C178)-1)</f>
        <v>9.2.b</v>
      </c>
      <c r="B178" s="32"/>
      <c r="C178" s="99" t="s">
        <v>222</v>
      </c>
      <c r="D178" s="94" t="s">
        <v>69</v>
      </c>
      <c r="F178" s="281">
        <f>IF(INDEX('NZS O&amp;G and CA100'!$D$5:$D$193, MATCH('Company Scorecard - select'!$A178, 'NZS O&amp;G and CA100'!$B$5:$B$193, 0)) = "Disclosure", INDEX('NZS O&amp;G and CA100'!$E$5:$N$193, MATCH('Company Scorecard - select'!$A178, 'NZS O&amp;G and CA100'!$B$5:$B$193, 0),MATCH('Company Scorecard - select'!$C$5, 'NZS O&amp;G and CA100'!$E$3:$N$3, 0)),"N/A")</f>
        <v>0</v>
      </c>
      <c r="G178" s="279"/>
      <c r="H178" s="279" t="str">
        <f>IF(OR(INDEX('NZS O&amp;G and CA100'!$D$5:$D$193, MATCH('Company Scorecard - select'!$A178, 'NZS O&amp;G and CA100'!$B$5:$B$193, 0)) = "Alignment", INDEX('NZS O&amp;G and CA100'!$D$5:$D$193, MATCH('Company Scorecard - select'!$A178, 'NZS O&amp;G and CA100'!$B$5:$B$193, 0)) = "Solutions (Al)"), INDEX('NZS O&amp;G and CA100'!$E$5:$N$193, MATCH('Company Scorecard - select'!$A178, 'NZS O&amp;G and CA100'!$B$5:$B$193, 0),MATCH('Company Scorecard - select'!$C$5, 'NZS O&amp;G and CA100'!$E$3:$N$3, 0)),"")</f>
        <v/>
      </c>
      <c r="I178" s="279"/>
      <c r="J178" s="279"/>
      <c r="L178" s="294"/>
      <c r="N178" s="22" t="s">
        <v>76</v>
      </c>
      <c r="DQ178" s="24"/>
      <c r="DR178" s="24"/>
      <c r="DS178" s="24"/>
    </row>
    <row r="179" spans="1:123" s="22" customFormat="1" ht="15" customHeight="1" outlineLevel="2">
      <c r="A179" s="298" t="str">
        <f>LEFT(C179,FIND(":",C179)-1)</f>
        <v>9.2.c</v>
      </c>
      <c r="B179" s="32"/>
      <c r="C179" s="99" t="s">
        <v>223</v>
      </c>
      <c r="D179" s="94" t="s">
        <v>69</v>
      </c>
      <c r="F179" s="281">
        <f>IF(INDEX('NZS O&amp;G and CA100'!$D$5:$D$193, MATCH('Company Scorecard - select'!$A179, 'NZS O&amp;G and CA100'!$B$5:$B$193, 0)) = "Disclosure", INDEX('NZS O&amp;G and CA100'!$E$5:$N$193, MATCH('Company Scorecard - select'!$A179, 'NZS O&amp;G and CA100'!$B$5:$B$193, 0),MATCH('Company Scorecard - select'!$C$5, 'NZS O&amp;G and CA100'!$E$3:$N$3, 0)),"N/A")</f>
        <v>0</v>
      </c>
      <c r="G179" s="279"/>
      <c r="H179" s="279" t="str">
        <f>IF(OR(INDEX('NZS O&amp;G and CA100'!$D$5:$D$193, MATCH('Company Scorecard - select'!$A179, 'NZS O&amp;G and CA100'!$B$5:$B$193, 0)) = "Alignment", INDEX('NZS O&amp;G and CA100'!$D$5:$D$193, MATCH('Company Scorecard - select'!$A179, 'NZS O&amp;G and CA100'!$B$5:$B$193, 0)) = "Solutions (Al)"), INDEX('NZS O&amp;G and CA100'!$E$5:$N$193, MATCH('Company Scorecard - select'!$A179, 'NZS O&amp;G and CA100'!$B$5:$B$193, 0),MATCH('Company Scorecard - select'!$C$5, 'NZS O&amp;G and CA100'!$E$3:$N$3, 0)),"")</f>
        <v/>
      </c>
      <c r="I179" s="279"/>
      <c r="J179" s="279"/>
      <c r="L179" s="294"/>
      <c r="N179" s="22" t="s">
        <v>76</v>
      </c>
      <c r="DQ179" s="24"/>
      <c r="DR179" s="24"/>
      <c r="DS179" s="24"/>
    </row>
    <row r="180" spans="1:123" s="22" customFormat="1" ht="15" customHeight="1" outlineLevel="1">
      <c r="A180" s="298"/>
      <c r="B180" s="32"/>
      <c r="C180" s="96"/>
      <c r="D180" s="94" t="s">
        <v>70</v>
      </c>
      <c r="F180" s="279"/>
      <c r="G180" s="279"/>
      <c r="H180" s="279"/>
      <c r="I180" s="279"/>
      <c r="J180" s="279"/>
      <c r="L180" s="294"/>
      <c r="N180" s="22" t="s">
        <v>76</v>
      </c>
      <c r="DQ180" s="24"/>
      <c r="DR180" s="24"/>
      <c r="DS180" s="24"/>
    </row>
    <row r="181" spans="1:123" s="22" customFormat="1" ht="7.5" customHeight="1" thickBot="1">
      <c r="A181" s="296"/>
      <c r="B181" s="34"/>
      <c r="C181" s="35"/>
      <c r="D181" s="29" t="s">
        <v>70</v>
      </c>
      <c r="E181" s="29"/>
      <c r="F181" s="282"/>
      <c r="G181" s="282"/>
      <c r="H181" s="282"/>
      <c r="I181" s="282"/>
      <c r="J181" s="283"/>
      <c r="K181" s="28"/>
      <c r="L181" s="295"/>
      <c r="N181" s="22" t="s">
        <v>76</v>
      </c>
      <c r="DQ181" s="24"/>
      <c r="DR181" s="24"/>
      <c r="DS181" s="24"/>
    </row>
    <row r="182" spans="1:123" ht="7.5" customHeight="1">
      <c r="A182" s="296"/>
      <c r="B182" s="30"/>
      <c r="C182" s="22" t="s">
        <v>81</v>
      </c>
      <c r="D182" s="22" t="s">
        <v>70</v>
      </c>
      <c r="F182" s="279"/>
      <c r="G182" s="279"/>
      <c r="H182" s="279"/>
      <c r="I182" s="279"/>
      <c r="J182" s="279"/>
      <c r="K182" s="86"/>
      <c r="L182" s="294"/>
      <c r="N182" s="22" t="s">
        <v>76</v>
      </c>
      <c r="O182" s="22"/>
    </row>
    <row r="183" spans="1:123" s="22" customFormat="1" ht="15" customHeight="1">
      <c r="A183" s="297">
        <v>10</v>
      </c>
      <c r="B183" s="32"/>
      <c r="C183" s="101" t="s">
        <v>224</v>
      </c>
      <c r="D183" s="92" t="s">
        <v>64</v>
      </c>
      <c r="F183" s="278">
        <f>SUM(F185,F188,F191,F196)/COUNT(F185,F188,F191,F196)</f>
        <v>0.66666666666666663</v>
      </c>
      <c r="G183" s="279"/>
      <c r="H183" s="279"/>
      <c r="I183" s="279"/>
      <c r="J183" s="279"/>
      <c r="L183" s="294"/>
      <c r="N183" s="22" t="s">
        <v>76</v>
      </c>
      <c r="DQ183" s="24"/>
      <c r="DR183" s="24"/>
      <c r="DS183" s="24"/>
    </row>
    <row r="184" spans="1:123" s="22" customFormat="1" ht="15" customHeight="1">
      <c r="A184" s="297"/>
      <c r="B184" s="32"/>
      <c r="C184" s="106"/>
      <c r="D184" s="92"/>
      <c r="F184" s="278"/>
      <c r="G184" s="279"/>
      <c r="H184" s="279"/>
      <c r="I184" s="279"/>
      <c r="J184" s="279"/>
      <c r="L184" s="294"/>
      <c r="N184" s="22" t="s">
        <v>76</v>
      </c>
      <c r="DQ184" s="24"/>
      <c r="DR184" s="24"/>
      <c r="DS184" s="24"/>
    </row>
    <row r="185" spans="1:123" s="22" customFormat="1" ht="15" customHeight="1" outlineLevel="1">
      <c r="A185" s="297">
        <v>10.1</v>
      </c>
      <c r="B185" s="32"/>
      <c r="C185" s="98" t="s">
        <v>225</v>
      </c>
      <c r="D185" s="94" t="s">
        <v>67</v>
      </c>
      <c r="F185" s="280">
        <f>SUM(F186:F187)/COUNT(F186:F187)</f>
        <v>1</v>
      </c>
      <c r="G185" s="279"/>
      <c r="H185" s="279" t="str">
        <f>IF(OR(INDEX('NZS O&amp;G and CA100'!$D$5:$D$193, MATCH('Company Scorecard - select'!$A185, 'NZS O&amp;G and CA100'!$B$5:$B$193, 0)) = "Alignment", INDEX('NZS O&amp;G and CA100'!$D$5:$D$193, MATCH('Company Scorecard - select'!$A185, 'NZS O&amp;G and CA100'!$B$5:$B$193, 0)) = "Solutions (Al)"), INDEX('NZS O&amp;G and CA100'!$E$5:$N$193, MATCH('Company Scorecard - select'!$A185, 'NZS O&amp;G and CA100'!$B$5:$B$193, 0),MATCH('Company Scorecard - select'!$C$5, 'NZS O&amp;G and CA100'!$E$3:$N$3, 0)),"")</f>
        <v/>
      </c>
      <c r="I185" s="279"/>
      <c r="J185" s="279"/>
      <c r="L185" s="294"/>
      <c r="N185" s="22" t="s">
        <v>76</v>
      </c>
      <c r="DQ185" s="24"/>
      <c r="DR185" s="24"/>
      <c r="DS185" s="24"/>
    </row>
    <row r="186" spans="1:123" s="22" customFormat="1" ht="15" customHeight="1" outlineLevel="2">
      <c r="A186" s="298" t="s">
        <v>226</v>
      </c>
      <c r="B186" s="32"/>
      <c r="C186" s="99" t="s">
        <v>227</v>
      </c>
      <c r="D186" s="94" t="s">
        <v>67</v>
      </c>
      <c r="F186" s="280">
        <f>IF(INDEX('NZS O&amp;G and CA100'!$D$5:$D$193, MATCH('Company Scorecard - select'!$A186, 'NZS O&amp;G and CA100'!$B$5:$B$193, 0)) = "Disclosure", INDEX('NZS O&amp;G and CA100'!$E$5:$N$193, MATCH('Company Scorecard - select'!$A186, 'NZS O&amp;G and CA100'!$B$5:$B$193, 0),MATCH('Company Scorecard - select'!$C$5, 'NZS O&amp;G and CA100'!$E$3:$N$3, 0)),"N/A")</f>
        <v>1</v>
      </c>
      <c r="G186" s="279"/>
      <c r="H186" s="279" t="str">
        <f>IF(OR(INDEX('NZS O&amp;G and CA100'!$D$5:$D$193, MATCH('Company Scorecard - select'!$A186, 'NZS O&amp;G and CA100'!$B$5:$B$193, 0)) = "Alignment", INDEX('NZS O&amp;G and CA100'!$D$5:$D$193, MATCH('Company Scorecard - select'!$A186, 'NZS O&amp;G and CA100'!$B$5:$B$193, 0)) = "Solutions (Al)"), INDEX('NZS O&amp;G and CA100'!$E$5:$N$193, MATCH('Company Scorecard - select'!$A186, 'NZS O&amp;G and CA100'!$B$5:$B$193, 0),MATCH('Company Scorecard - select'!$C$5, 'NZS O&amp;G and CA100'!$E$3:$N$3, 0)),"")</f>
        <v/>
      </c>
      <c r="I186" s="279"/>
      <c r="J186" s="279"/>
      <c r="L186" s="294"/>
      <c r="N186" s="22" t="s">
        <v>76</v>
      </c>
      <c r="DQ186" s="24"/>
      <c r="DR186" s="24"/>
      <c r="DS186" s="24"/>
    </row>
    <row r="187" spans="1:123" s="22" customFormat="1" ht="15" customHeight="1" outlineLevel="2">
      <c r="A187" s="298" t="s">
        <v>228</v>
      </c>
      <c r="B187" s="32"/>
      <c r="C187" s="99" t="s">
        <v>229</v>
      </c>
      <c r="D187" s="94" t="s">
        <v>67</v>
      </c>
      <c r="F187" s="280">
        <f>IF(INDEX('NZS O&amp;G and CA100'!$D$5:$D$193, MATCH('Company Scorecard - select'!$A187, 'NZS O&amp;G and CA100'!$B$5:$B$193, 0)) = "Disclosure", INDEX('NZS O&amp;G and CA100'!$E$5:$N$193, MATCH('Company Scorecard - select'!$A187, 'NZS O&amp;G and CA100'!$B$5:$B$193, 0),MATCH('Company Scorecard - select'!$C$5, 'NZS O&amp;G and CA100'!$E$3:$N$3, 0)),"N/A")</f>
        <v>1</v>
      </c>
      <c r="G187" s="279"/>
      <c r="H187" s="279" t="str">
        <f>IF(OR(INDEX('NZS O&amp;G and CA100'!$D$5:$D$193, MATCH('Company Scorecard - select'!$A187, 'NZS O&amp;G and CA100'!$B$5:$B$193, 0)) = "Alignment", INDEX('NZS O&amp;G and CA100'!$D$5:$D$193, MATCH('Company Scorecard - select'!$A187, 'NZS O&amp;G and CA100'!$B$5:$B$193, 0)) = "Solutions (Al)"), INDEX('NZS O&amp;G and CA100'!$E$5:$N$193, MATCH('Company Scorecard - select'!$A187, 'NZS O&amp;G and CA100'!$B$5:$B$193, 0),MATCH('Company Scorecard - select'!$C$5, 'NZS O&amp;G and CA100'!$E$3:$N$3, 0)),"")</f>
        <v/>
      </c>
      <c r="I187" s="279"/>
      <c r="J187" s="279"/>
      <c r="L187" s="294"/>
      <c r="N187" s="22" t="s">
        <v>76</v>
      </c>
      <c r="DQ187" s="24"/>
      <c r="DR187" s="24"/>
      <c r="DS187" s="24"/>
    </row>
    <row r="188" spans="1:123" s="22" customFormat="1" ht="15" customHeight="1" outlineLevel="1">
      <c r="A188" s="297">
        <v>10.199999999999999</v>
      </c>
      <c r="B188" s="32"/>
      <c r="C188" s="98" t="s">
        <v>230</v>
      </c>
      <c r="D188" s="94" t="s">
        <v>70</v>
      </c>
      <c r="F188" s="280">
        <f>SUM(F189:F190)/COUNT(F189:F190)</f>
        <v>1</v>
      </c>
      <c r="G188" s="279"/>
      <c r="H188" s="279" t="str">
        <f>IF(OR(INDEX('NZS O&amp;G and CA100'!$D$5:$D$193, MATCH('Company Scorecard - select'!$A188, 'NZS O&amp;G and CA100'!$B$5:$B$193, 0)) = "Alignment", INDEX('NZS O&amp;G and CA100'!$D$5:$D$193, MATCH('Company Scorecard - select'!$A188, 'NZS O&amp;G and CA100'!$B$5:$B$193, 0)) = "Solutions (Al)"), INDEX('NZS O&amp;G and CA100'!$E$5:$N$193, MATCH('Company Scorecard - select'!$A188, 'NZS O&amp;G and CA100'!$B$5:$B$193, 0),MATCH('Company Scorecard - select'!$C$5, 'NZS O&amp;G and CA100'!$E$3:$N$3, 0)),"")</f>
        <v/>
      </c>
      <c r="I188" s="279"/>
      <c r="J188" s="279"/>
      <c r="L188" s="294"/>
      <c r="N188" s="22" t="s">
        <v>76</v>
      </c>
      <c r="DQ188" s="24"/>
      <c r="DR188" s="24"/>
      <c r="DS188" s="24"/>
    </row>
    <row r="189" spans="1:123" s="22" customFormat="1" ht="15" customHeight="1" outlineLevel="2">
      <c r="A189" s="298" t="s">
        <v>231</v>
      </c>
      <c r="B189" s="32"/>
      <c r="C189" s="99" t="s">
        <v>232</v>
      </c>
      <c r="D189" s="94" t="s">
        <v>67</v>
      </c>
      <c r="F189" s="280">
        <f>IF(INDEX('NZS O&amp;G and CA100'!$D$5:$D$193, MATCH('Company Scorecard - select'!$A189, 'NZS O&amp;G and CA100'!$B$5:$B$193, 0)) = "Disclosure", INDEX('NZS O&amp;G and CA100'!$E$5:$N$193, MATCH('Company Scorecard - select'!$A189, 'NZS O&amp;G and CA100'!$B$5:$B$193, 0),MATCH('Company Scorecard - select'!$C$5, 'NZS O&amp;G and CA100'!$E$3:$N$3, 0)),"N/A")</f>
        <v>1</v>
      </c>
      <c r="G189" s="279"/>
      <c r="H189" s="279" t="str">
        <f>IF(OR(INDEX('NZS O&amp;G and CA100'!$D$5:$D$193, MATCH('Company Scorecard - select'!$A189, 'NZS O&amp;G and CA100'!$B$5:$B$193, 0)) = "Alignment", INDEX('NZS O&amp;G and CA100'!$D$5:$D$193, MATCH('Company Scorecard - select'!$A189, 'NZS O&amp;G and CA100'!$B$5:$B$193, 0)) = "Solutions (Al)"), INDEX('NZS O&amp;G and CA100'!$E$5:$N$193, MATCH('Company Scorecard - select'!$A189, 'NZS O&amp;G and CA100'!$B$5:$B$193, 0),MATCH('Company Scorecard - select'!$C$5, 'NZS O&amp;G and CA100'!$E$3:$N$3, 0)),"")</f>
        <v/>
      </c>
      <c r="I189" s="279"/>
      <c r="J189" s="279"/>
      <c r="L189" s="294"/>
      <c r="N189" s="22" t="s">
        <v>76</v>
      </c>
      <c r="DQ189" s="24"/>
      <c r="DR189" s="24"/>
      <c r="DS189" s="24"/>
    </row>
    <row r="190" spans="1:123" s="22" customFormat="1" ht="15" customHeight="1" outlineLevel="2">
      <c r="A190" s="298" t="s">
        <v>233</v>
      </c>
      <c r="B190" s="32"/>
      <c r="C190" s="99" t="s">
        <v>234</v>
      </c>
      <c r="D190" s="94" t="s">
        <v>69</v>
      </c>
      <c r="F190" s="280">
        <f>IF(INDEX('NZS O&amp;G and CA100'!$D$5:$D$193, MATCH('Company Scorecard - select'!$A190, 'NZS O&amp;G and CA100'!$B$5:$B$193, 0)) = "Disclosure", INDEX('NZS O&amp;G and CA100'!$E$5:$N$193, MATCH('Company Scorecard - select'!$A190, 'NZS O&amp;G and CA100'!$B$5:$B$193, 0),MATCH('Company Scorecard - select'!$C$5, 'NZS O&amp;G and CA100'!$E$3:$N$3, 0)),"N/A")</f>
        <v>1</v>
      </c>
      <c r="G190" s="279"/>
      <c r="H190" s="279" t="str">
        <f>IF(OR(INDEX('NZS O&amp;G and CA100'!$D$5:$D$193, MATCH('Company Scorecard - select'!$A190, 'NZS O&amp;G and CA100'!$B$5:$B$193, 0)) = "Alignment", INDEX('NZS O&amp;G and CA100'!$D$5:$D$193, MATCH('Company Scorecard - select'!$A190, 'NZS O&amp;G and CA100'!$B$5:$B$193, 0)) = "Solutions (Al)"), INDEX('NZS O&amp;G and CA100'!$E$5:$N$193, MATCH('Company Scorecard - select'!$A190, 'NZS O&amp;G and CA100'!$B$5:$B$193, 0),MATCH('Company Scorecard - select'!$C$5, 'NZS O&amp;G and CA100'!$E$3:$N$3, 0)),"")</f>
        <v/>
      </c>
      <c r="I190" s="279"/>
      <c r="J190" s="279"/>
      <c r="L190" s="294"/>
      <c r="N190" s="22" t="s">
        <v>76</v>
      </c>
      <c r="DQ190" s="24"/>
      <c r="DR190" s="24"/>
      <c r="DS190" s="24"/>
    </row>
    <row r="191" spans="1:123" s="22" customFormat="1" ht="15" customHeight="1" outlineLevel="1">
      <c r="A191" s="298" t="s">
        <v>233</v>
      </c>
      <c r="B191" s="32"/>
      <c r="C191" s="102" t="s">
        <v>235</v>
      </c>
      <c r="D191" s="94" t="s">
        <v>70</v>
      </c>
      <c r="F191" s="280">
        <f>SUM(F192:F195)/COUNT(F192:F195)</f>
        <v>0</v>
      </c>
      <c r="G191" s="279"/>
      <c r="H191" s="279" t="str">
        <f>IF(OR(INDEX('NZS O&amp;G and CA100'!$D$5:$D$193, MATCH('Company Scorecard - select'!$A191, 'NZS O&amp;G and CA100'!$B$5:$B$193, 0)) = "Alignment", INDEX('NZS O&amp;G and CA100'!$D$5:$D$193, MATCH('Company Scorecard - select'!$A191, 'NZS O&amp;G and CA100'!$B$5:$B$193, 0)) = "Solutions (Al)"), INDEX('NZS O&amp;G and CA100'!$E$5:$N$193, MATCH('Company Scorecard - select'!$A191, 'NZS O&amp;G and CA100'!$B$5:$B$193, 0),MATCH('Company Scorecard - select'!$C$5, 'NZS O&amp;G and CA100'!$E$3:$N$3, 0)),"")</f>
        <v/>
      </c>
      <c r="I191" s="279"/>
      <c r="J191" s="279"/>
      <c r="L191" s="294"/>
      <c r="N191" s="22" t="s">
        <v>76</v>
      </c>
      <c r="DQ191" s="24"/>
      <c r="DR191" s="24"/>
      <c r="DS191" s="24"/>
    </row>
    <row r="192" spans="1:123" s="22" customFormat="1" ht="15" customHeight="1" outlineLevel="2">
      <c r="A192" s="298" t="s">
        <v>236</v>
      </c>
      <c r="B192" s="32"/>
      <c r="C192" s="97" t="s">
        <v>237</v>
      </c>
      <c r="D192" s="94" t="s">
        <v>70</v>
      </c>
      <c r="F192" s="280">
        <f>IF(INDEX('NZS O&amp;G and CA100'!$D$5:$D$193, MATCH('Company Scorecard - select'!$A192, 'NZS O&amp;G and CA100'!$B$5:$B$193, 0)) = "Disclosure", INDEX('NZS O&amp;G and CA100'!$E$5:$N$193, MATCH('Company Scorecard - select'!$A192, 'NZS O&amp;G and CA100'!$B$5:$B$193, 0),MATCH('Company Scorecard - select'!$C$5, 'NZS O&amp;G and CA100'!$E$3:$N$3, 0)),"N/A")</f>
        <v>0</v>
      </c>
      <c r="G192" s="279"/>
      <c r="H192" s="279" t="str">
        <f>IF(OR(INDEX('NZS O&amp;G and CA100'!$D$5:$D$193, MATCH('Company Scorecard - select'!$A192, 'NZS O&amp;G and CA100'!$B$5:$B$193, 0)) = "Alignment", INDEX('NZS O&amp;G and CA100'!$D$5:$D$193, MATCH('Company Scorecard - select'!$A192, 'NZS O&amp;G and CA100'!$B$5:$B$193, 0)) = "Solutions (Al)"), INDEX('NZS O&amp;G and CA100'!$E$5:$N$193, MATCH('Company Scorecard - select'!$A192, 'NZS O&amp;G and CA100'!$B$5:$B$193, 0),MATCH('Company Scorecard - select'!$C$5, 'NZS O&amp;G and CA100'!$E$3:$N$3, 0)),"")</f>
        <v/>
      </c>
      <c r="I192" s="279"/>
      <c r="J192" s="279"/>
      <c r="L192" s="294" t="s">
        <v>76</v>
      </c>
      <c r="N192" s="22" t="s">
        <v>76</v>
      </c>
      <c r="DQ192" s="24"/>
      <c r="DR192" s="24"/>
      <c r="DS192" s="24"/>
    </row>
    <row r="193" spans="1:124" s="22" customFormat="1" ht="15" customHeight="1" outlineLevel="2">
      <c r="A193" s="298" t="s">
        <v>238</v>
      </c>
      <c r="B193" s="32"/>
      <c r="C193" s="97" t="s">
        <v>239</v>
      </c>
      <c r="D193" s="94" t="s">
        <v>70</v>
      </c>
      <c r="F193" s="280">
        <f>IF(INDEX('NZS O&amp;G and CA100'!$D$5:$D$193, MATCH('Company Scorecard - select'!$A193, 'NZS O&amp;G and CA100'!$B$5:$B$193, 0)) = "Disclosure", INDEX('NZS O&amp;G and CA100'!$E$5:$N$193, MATCH('Company Scorecard - select'!$A193, 'NZS O&amp;G and CA100'!$B$5:$B$193, 0),MATCH('Company Scorecard - select'!$C$5, 'NZS O&amp;G and CA100'!$E$3:$N$3, 0)),"N/A")</f>
        <v>0</v>
      </c>
      <c r="G193" s="279"/>
      <c r="H193" s="279" t="str">
        <f>IF(OR(INDEX('NZS O&amp;G and CA100'!$D$5:$D$193, MATCH('Company Scorecard - select'!$A193, 'NZS O&amp;G and CA100'!$B$5:$B$193, 0)) = "Alignment", INDEX('NZS O&amp;G and CA100'!$D$5:$D$193, MATCH('Company Scorecard - select'!$A193, 'NZS O&amp;G and CA100'!$B$5:$B$193, 0)) = "Solutions (Al)"), INDEX('NZS O&amp;G and CA100'!$E$5:$N$193, MATCH('Company Scorecard - select'!$A193, 'NZS O&amp;G and CA100'!$B$5:$B$193, 0),MATCH('Company Scorecard - select'!$C$5, 'NZS O&amp;G and CA100'!$E$3:$N$3, 0)),"")</f>
        <v/>
      </c>
      <c r="I193" s="279"/>
      <c r="J193" s="279"/>
      <c r="L193" s="294" t="s">
        <v>76</v>
      </c>
      <c r="N193" s="22" t="s">
        <v>76</v>
      </c>
      <c r="DQ193" s="24"/>
      <c r="DR193" s="24"/>
      <c r="DS193" s="24"/>
    </row>
    <row r="194" spans="1:124" s="22" customFormat="1" ht="15" customHeight="1" outlineLevel="2">
      <c r="A194" s="298" t="s">
        <v>240</v>
      </c>
      <c r="B194" s="32"/>
      <c r="C194" s="97" t="s">
        <v>241</v>
      </c>
      <c r="D194" s="94" t="s">
        <v>70</v>
      </c>
      <c r="F194" s="280">
        <f>IF(INDEX('NZS O&amp;G and CA100'!$D$5:$D$193, MATCH('Company Scorecard - select'!$A194, 'NZS O&amp;G and CA100'!$B$5:$B$193, 0)) = "Disclosure", INDEX('NZS O&amp;G and CA100'!$E$5:$N$193, MATCH('Company Scorecard - select'!$A194, 'NZS O&amp;G and CA100'!$B$5:$B$193, 0),MATCH('Company Scorecard - select'!$C$5, 'NZS O&amp;G and CA100'!$E$3:$N$3, 0)),"N/A")</f>
        <v>0</v>
      </c>
      <c r="G194" s="279"/>
      <c r="H194" s="279" t="str">
        <f>IF(OR(INDEX('NZS O&amp;G and CA100'!$D$5:$D$193, MATCH('Company Scorecard - select'!$A194, 'NZS O&amp;G and CA100'!$B$5:$B$193, 0)) = "Alignment", INDEX('NZS O&amp;G and CA100'!$D$5:$D$193, MATCH('Company Scorecard - select'!$A194, 'NZS O&amp;G and CA100'!$B$5:$B$193, 0)) = "Solutions (Al)"), INDEX('NZS O&amp;G and CA100'!$E$5:$N$193, MATCH('Company Scorecard - select'!$A194, 'NZS O&amp;G and CA100'!$B$5:$B$193, 0),MATCH('Company Scorecard - select'!$C$5, 'NZS O&amp;G and CA100'!$E$3:$N$3, 0)),"")</f>
        <v/>
      </c>
      <c r="I194" s="279"/>
      <c r="J194" s="279"/>
      <c r="L194" s="294" t="s">
        <v>76</v>
      </c>
      <c r="N194" s="22" t="s">
        <v>76</v>
      </c>
      <c r="DQ194" s="24"/>
      <c r="DR194" s="24"/>
      <c r="DS194" s="24"/>
    </row>
    <row r="195" spans="1:124" s="22" customFormat="1" ht="15" customHeight="1" outlineLevel="2">
      <c r="A195" s="298" t="s">
        <v>242</v>
      </c>
      <c r="B195" s="32"/>
      <c r="C195" s="97" t="s">
        <v>243</v>
      </c>
      <c r="D195" s="92" t="s">
        <v>70</v>
      </c>
      <c r="F195" s="280">
        <f>IF(INDEX('NZS O&amp;G and CA100'!$D$5:$D$193, MATCH('Company Scorecard - select'!$A195, 'NZS O&amp;G and CA100'!$B$5:$B$193, 0)) = "Disclosure", INDEX('NZS O&amp;G and CA100'!$E$5:$N$193, MATCH('Company Scorecard - select'!$A195, 'NZS O&amp;G and CA100'!$B$5:$B$193, 0),MATCH('Company Scorecard - select'!$C$5, 'NZS O&amp;G and CA100'!$E$3:$N$3, 0)),"N/A")</f>
        <v>0</v>
      </c>
      <c r="G195" s="279"/>
      <c r="H195" s="279" t="str">
        <f>IF(OR(INDEX('NZS O&amp;G and CA100'!$D$5:$D$193, MATCH('Company Scorecard - select'!$A195, 'NZS O&amp;G and CA100'!$B$5:$B$193, 0)) = "Alignment", INDEX('NZS O&amp;G and CA100'!$D$5:$D$193, MATCH('Company Scorecard - select'!$A195, 'NZS O&amp;G and CA100'!$B$5:$B$193, 0)) = "Solutions (Al)"), INDEX('NZS O&amp;G and CA100'!$E$5:$N$193, MATCH('Company Scorecard - select'!$A195, 'NZS O&amp;G and CA100'!$B$5:$B$193, 0),MATCH('Company Scorecard - select'!$C$5, 'NZS O&amp;G and CA100'!$E$3:$N$3, 0)),"")</f>
        <v/>
      </c>
      <c r="I195" s="279"/>
      <c r="J195" s="279"/>
      <c r="L195" s="294" t="s">
        <v>76</v>
      </c>
      <c r="N195" s="22" t="s">
        <v>76</v>
      </c>
      <c r="DQ195" s="24"/>
      <c r="DR195" s="24"/>
      <c r="DS195" s="24"/>
    </row>
    <row r="196" spans="1:124" s="22" customFormat="1" ht="15" customHeight="1" outlineLevel="1">
      <c r="A196" s="298" t="s">
        <v>233</v>
      </c>
      <c r="B196" s="32"/>
      <c r="C196" s="102" t="s">
        <v>244</v>
      </c>
      <c r="D196" s="92" t="s">
        <v>70</v>
      </c>
      <c r="F196" s="280">
        <f>SUM(F197:F199)/COUNT(F197:F199)</f>
        <v>0.66666666666666663</v>
      </c>
      <c r="G196" s="279"/>
      <c r="H196" s="279" t="str">
        <f>IF(OR(INDEX('NZS O&amp;G and CA100'!$D$5:$D$193, MATCH('Company Scorecard - select'!$A196, 'NZS O&amp;G and CA100'!$B$5:$B$193, 0)) = "Alignment", INDEX('NZS O&amp;G and CA100'!$D$5:$D$193, MATCH('Company Scorecard - select'!$A196, 'NZS O&amp;G and CA100'!$B$5:$B$193, 0)) = "Solutions (Al)"), INDEX('NZS O&amp;G and CA100'!$E$5:$N$193, MATCH('Company Scorecard - select'!$A196, 'NZS O&amp;G and CA100'!$B$5:$B$193, 0),MATCH('Company Scorecard - select'!$C$5, 'NZS O&amp;G and CA100'!$E$3:$N$3, 0)),"")</f>
        <v/>
      </c>
      <c r="I196" s="279"/>
      <c r="J196" s="279"/>
      <c r="L196" s="294" t="s">
        <v>76</v>
      </c>
      <c r="N196" s="22" t="s">
        <v>76</v>
      </c>
      <c r="DQ196" s="24"/>
      <c r="DR196" s="24"/>
      <c r="DS196" s="24"/>
    </row>
    <row r="197" spans="1:124" s="22" customFormat="1" ht="15" customHeight="1" outlineLevel="2">
      <c r="A197" s="298" t="s">
        <v>245</v>
      </c>
      <c r="B197" s="32"/>
      <c r="C197" s="97" t="s">
        <v>246</v>
      </c>
      <c r="D197" s="92" t="s">
        <v>70</v>
      </c>
      <c r="F197" s="281">
        <f>IF(INDEX('NZS O&amp;G and CA100'!$D$5:$D$193, MATCH('Company Scorecard - select'!$A197, 'NZS O&amp;G and CA100'!$B$5:$B$193, 0)) = "Disclosure", INDEX('NZS O&amp;G and CA100'!$E$5:$N$193, MATCH('Company Scorecard - select'!$A197, 'NZS O&amp;G and CA100'!$B$5:$B$193, 0),MATCH('Company Scorecard - select'!$C$5, 'NZS O&amp;G and CA100'!$E$3:$N$3, 0)),"N/A")</f>
        <v>1</v>
      </c>
      <c r="G197" s="279"/>
      <c r="H197" s="279" t="str">
        <f>IF(OR(INDEX('NZS O&amp;G and CA100'!$D$5:$D$193, MATCH('Company Scorecard - select'!$A197, 'NZS O&amp;G and CA100'!$B$5:$B$193, 0)) = "Alignment", INDEX('NZS O&amp;G and CA100'!$D$5:$D$193, MATCH('Company Scorecard - select'!$A197, 'NZS O&amp;G and CA100'!$B$5:$B$193, 0)) = "Solutions (Al)"), INDEX('NZS O&amp;G and CA100'!$E$5:$N$193, MATCH('Company Scorecard - select'!$A197, 'NZS O&amp;G and CA100'!$B$5:$B$193, 0),MATCH('Company Scorecard - select'!$C$5, 'NZS O&amp;G and CA100'!$E$3:$N$3, 0)),"")</f>
        <v/>
      </c>
      <c r="I197" s="279"/>
      <c r="J197" s="279"/>
      <c r="L197" s="294" t="s">
        <v>76</v>
      </c>
      <c r="M197" s="22" t="s">
        <v>76</v>
      </c>
      <c r="N197" s="22" t="s">
        <v>76</v>
      </c>
      <c r="DQ197" s="24"/>
      <c r="DR197" s="24"/>
      <c r="DS197" s="24"/>
    </row>
    <row r="198" spans="1:124" s="22" customFormat="1" ht="15" customHeight="1" outlineLevel="2">
      <c r="A198" s="298" t="s">
        <v>247</v>
      </c>
      <c r="B198" s="32"/>
      <c r="C198" s="97" t="s">
        <v>248</v>
      </c>
      <c r="D198" s="92" t="s">
        <v>70</v>
      </c>
      <c r="F198" s="281">
        <f>IF(INDEX('NZS O&amp;G and CA100'!$D$5:$D$193, MATCH('Company Scorecard - select'!$A198, 'NZS O&amp;G and CA100'!$B$5:$B$193, 0)) = "Disclosure", INDEX('NZS O&amp;G and CA100'!$E$5:$N$193, MATCH('Company Scorecard - select'!$A198, 'NZS O&amp;G and CA100'!$B$5:$B$193, 0),MATCH('Company Scorecard - select'!$C$5, 'NZS O&amp;G and CA100'!$E$3:$N$3, 0)),"N/A")</f>
        <v>1</v>
      </c>
      <c r="G198" s="279"/>
      <c r="H198" s="279" t="str">
        <f>IF(OR(INDEX('NZS O&amp;G and CA100'!$D$5:$D$193, MATCH('Company Scorecard - select'!$A198, 'NZS O&amp;G and CA100'!$B$5:$B$193, 0)) = "Alignment", INDEX('NZS O&amp;G and CA100'!$D$5:$D$193, MATCH('Company Scorecard - select'!$A198, 'NZS O&amp;G and CA100'!$B$5:$B$193, 0)) = "Solutions (Al)"), INDEX('NZS O&amp;G and CA100'!$E$5:$N$193, MATCH('Company Scorecard - select'!$A198, 'NZS O&amp;G and CA100'!$B$5:$B$193, 0),MATCH('Company Scorecard - select'!$C$5, 'NZS O&amp;G and CA100'!$E$3:$N$3, 0)),"")</f>
        <v/>
      </c>
      <c r="I198" s="279"/>
      <c r="J198" s="279"/>
      <c r="L198" s="294" t="s">
        <v>76</v>
      </c>
      <c r="N198" s="22" t="s">
        <v>76</v>
      </c>
      <c r="DQ198" s="24"/>
      <c r="DR198" s="24"/>
      <c r="DS198" s="24"/>
    </row>
    <row r="199" spans="1:124" s="22" customFormat="1" ht="15" customHeight="1" outlineLevel="2">
      <c r="A199" s="298" t="s">
        <v>249</v>
      </c>
      <c r="B199" s="32"/>
      <c r="C199" s="97" t="s">
        <v>250</v>
      </c>
      <c r="D199" s="92" t="s">
        <v>70</v>
      </c>
      <c r="F199" s="281">
        <f>IF(INDEX('NZS O&amp;G and CA100'!$D$5:$D$193, MATCH('Company Scorecard - select'!$A199, 'NZS O&amp;G and CA100'!$B$5:$B$193, 0)) = "Disclosure", INDEX('NZS O&amp;G and CA100'!$E$5:$N$193, MATCH('Company Scorecard - select'!$A199, 'NZS O&amp;G and CA100'!$B$5:$B$193, 0),MATCH('Company Scorecard - select'!$C$5, 'NZS O&amp;G and CA100'!$E$3:$N$3, 0)),"N/A")</f>
        <v>0</v>
      </c>
      <c r="G199" s="279"/>
      <c r="H199" s="279" t="str">
        <f>IF(OR(INDEX('NZS O&amp;G and CA100'!$D$5:$D$193, MATCH('Company Scorecard - select'!$A199, 'NZS O&amp;G and CA100'!$B$5:$B$193, 0)) = "Alignment", INDEX('NZS O&amp;G and CA100'!$D$5:$D$193, MATCH('Company Scorecard - select'!$A199, 'NZS O&amp;G and CA100'!$B$5:$B$193, 0)) = "Solutions (Al)"), INDEX('NZS O&amp;G and CA100'!$E$5:$N$193, MATCH('Company Scorecard - select'!$A199, 'NZS O&amp;G and CA100'!$B$5:$B$193, 0),MATCH('Company Scorecard - select'!$C$5, 'NZS O&amp;G and CA100'!$E$3:$N$3, 0)),"")</f>
        <v/>
      </c>
      <c r="I199" s="279"/>
      <c r="J199" s="279"/>
      <c r="L199" s="294"/>
      <c r="N199" s="22" t="s">
        <v>76</v>
      </c>
      <c r="DQ199" s="24"/>
      <c r="DR199" s="24"/>
      <c r="DS199" s="24"/>
    </row>
    <row r="200" spans="1:124" s="22" customFormat="1" ht="7.5" customHeight="1" thickBot="1">
      <c r="A200" s="296"/>
      <c r="B200" s="34"/>
      <c r="C200" s="35" t="s">
        <v>81</v>
      </c>
      <c r="D200" s="29"/>
      <c r="E200" s="29"/>
      <c r="F200" s="292"/>
      <c r="G200" s="292"/>
      <c r="H200" s="292"/>
      <c r="I200" s="292"/>
      <c r="J200" s="283"/>
      <c r="K200" s="28"/>
      <c r="L200" s="294"/>
      <c r="N200" s="22" t="s">
        <v>76</v>
      </c>
      <c r="DQ200" s="24"/>
      <c r="DR200" s="24"/>
      <c r="DS200" s="24"/>
    </row>
    <row r="201" spans="1:124" ht="7.5" customHeight="1">
      <c r="A201" s="296"/>
      <c r="B201" s="30"/>
      <c r="D201" s="85"/>
      <c r="E201" s="22" t="str">
        <f>IFERROR(INDEX('[1]CA100 2023 Scores'!$E$5:$N$78, MATCH('Company Scorecard - select'!$A211, '[1]CA100 2023 Scores'!$A$5:$A$78, 0), MATCH('Company Scorecard - select'!$C$5, '[1]CA100 2023 Scores'!$E$1:$N$1, 0)), "")</f>
        <v/>
      </c>
      <c r="F201" s="285"/>
      <c r="G201" s="279"/>
      <c r="H201" s="279"/>
      <c r="I201" s="279"/>
      <c r="J201" s="279"/>
      <c r="K201" s="45"/>
      <c r="L201" s="293"/>
      <c r="M201" s="45"/>
      <c r="N201" s="22" t="s">
        <v>76</v>
      </c>
      <c r="O201" s="22"/>
      <c r="P201" s="22"/>
      <c r="DQ201" s="23"/>
      <c r="DT201" s="24"/>
    </row>
    <row r="202" spans="1:124" s="22" customFormat="1" ht="15" customHeight="1">
      <c r="A202" s="297">
        <v>11</v>
      </c>
      <c r="B202" s="32"/>
      <c r="C202" s="101" t="s">
        <v>251</v>
      </c>
      <c r="D202" s="107"/>
      <c r="E202" s="92" t="str">
        <f>IFERROR(INDEX('[1]CA100 2023 Scores'!$E$5:$N$78, MATCH('Company Scorecard - select'!$A212, '[1]CA100 2023 Scores'!$A$5:$A$78, 0), MATCH('Company Scorecard - select'!$C$5, '[1]CA100 2023 Scores'!$E$1:$N$1, 0)), "")</f>
        <v/>
      </c>
      <c r="F202" s="278" t="s">
        <v>93</v>
      </c>
      <c r="G202" s="278"/>
      <c r="H202" s="278" t="s">
        <v>93</v>
      </c>
      <c r="I202" s="278"/>
      <c r="J202" s="279"/>
      <c r="K202" s="45"/>
      <c r="L202" s="294"/>
      <c r="M202" s="45"/>
      <c r="N202" s="22" t="s">
        <v>76</v>
      </c>
      <c r="DR202" s="24"/>
      <c r="DS202" s="24"/>
      <c r="DT202" s="24"/>
    </row>
    <row r="203" spans="1:124" s="22" customFormat="1" ht="15" customHeight="1">
      <c r="A203" s="297"/>
      <c r="B203" s="32"/>
      <c r="C203" s="104"/>
      <c r="D203" s="92"/>
      <c r="E203" s="92"/>
      <c r="F203" s="278"/>
      <c r="G203" s="278"/>
      <c r="H203" s="279"/>
      <c r="I203" s="278"/>
      <c r="J203" s="279"/>
      <c r="K203" s="46"/>
      <c r="L203" s="294"/>
      <c r="M203" s="46"/>
      <c r="N203" s="22" t="s">
        <v>76</v>
      </c>
      <c r="DR203" s="24"/>
      <c r="DS203" s="24"/>
      <c r="DT203" s="24"/>
    </row>
    <row r="204" spans="1:124" s="22" customFormat="1" ht="15" customHeight="1" outlineLevel="1">
      <c r="A204" s="297" t="str">
        <f>LEFT(C204,FIND(":",C204)-1)</f>
        <v>11.1</v>
      </c>
      <c r="B204" s="32"/>
      <c r="C204" s="98" t="s">
        <v>252</v>
      </c>
      <c r="D204" s="108"/>
      <c r="E204" s="94" t="str">
        <f>IFERROR(INDEX('[1]CA100 2023 Scores'!$E$5:$N$78, MATCH('Company Scorecard - select'!$A214, '[1]CA100 2023 Scores'!$A$5:$A$78, 0), MATCH('Company Scorecard - select'!$C$5, '[1]CA100 2023 Scores'!$E$1:$N$1, 0)), "")</f>
        <v/>
      </c>
      <c r="F204" s="280" t="s">
        <v>93</v>
      </c>
      <c r="G204" s="280"/>
      <c r="H204" s="280" t="s">
        <v>93</v>
      </c>
      <c r="I204" s="278"/>
      <c r="J204" s="279"/>
      <c r="K204" s="45"/>
      <c r="L204" s="294"/>
      <c r="M204" s="45"/>
      <c r="N204" s="22" t="s">
        <v>76</v>
      </c>
      <c r="DR204" s="24"/>
      <c r="DS204" s="24"/>
      <c r="DT204" s="24"/>
    </row>
    <row r="205" spans="1:124" s="22" customFormat="1" ht="15" customHeight="1" outlineLevel="2">
      <c r="A205" s="297" t="str">
        <f t="shared" ref="A205:A211" si="9">LEFT(C205,FIND(":",C205)-1)</f>
        <v>11.1.a</v>
      </c>
      <c r="B205" s="32"/>
      <c r="C205" s="99" t="s">
        <v>253</v>
      </c>
      <c r="D205" s="108"/>
      <c r="E205" s="94" t="str">
        <f>IFERROR(INDEX('[1]CA100 2023 Scores'!$E$5:$N$78, MATCH('Company Scorecard - select'!$A215, '[1]CA100 2023 Scores'!$A$5:$A$78, 0), MATCH('Company Scorecard - select'!$C$5, '[1]CA100 2023 Scores'!$E$1:$N$1, 0)), "")</f>
        <v/>
      </c>
      <c r="F205" s="280" t="s">
        <v>93</v>
      </c>
      <c r="G205" s="280"/>
      <c r="H205" s="279"/>
      <c r="I205" s="281"/>
      <c r="J205" s="279"/>
      <c r="K205" s="45"/>
      <c r="L205" s="294"/>
      <c r="M205" s="45"/>
      <c r="N205" s="22" t="s">
        <v>76</v>
      </c>
      <c r="DR205" s="24"/>
      <c r="DS205" s="24"/>
      <c r="DT205" s="24"/>
    </row>
    <row r="206" spans="1:124" s="22" customFormat="1" ht="15" customHeight="1" outlineLevel="2">
      <c r="A206" s="297" t="str">
        <f t="shared" si="9"/>
        <v>11.1.b</v>
      </c>
      <c r="B206" s="32"/>
      <c r="C206" s="99" t="s">
        <v>254</v>
      </c>
      <c r="D206" s="108"/>
      <c r="E206" s="94" t="str">
        <f>IFERROR(INDEX('[1]CA100 2023 Scores'!$E$5:$N$78, MATCH('Company Scorecard - select'!$A216, '[1]CA100 2023 Scores'!$A$5:$A$78, 0), MATCH('Company Scorecard - select'!$C$5, '[1]CA100 2023 Scores'!$E$1:$N$1, 0)), "")</f>
        <v/>
      </c>
      <c r="F206" s="280" t="s">
        <v>93</v>
      </c>
      <c r="G206" s="280"/>
      <c r="H206" s="279"/>
      <c r="I206" s="281"/>
      <c r="J206" s="279"/>
      <c r="K206" s="45"/>
      <c r="L206" s="294"/>
      <c r="M206" s="45"/>
      <c r="N206" s="22" t="s">
        <v>76</v>
      </c>
      <c r="DR206" s="24"/>
      <c r="DS206" s="24"/>
      <c r="DT206" s="24"/>
    </row>
    <row r="207" spans="1:124" s="22" customFormat="1" ht="15" customHeight="1" outlineLevel="2">
      <c r="A207" s="297" t="str">
        <f t="shared" si="9"/>
        <v>11.1.c</v>
      </c>
      <c r="B207" s="32"/>
      <c r="C207" s="99" t="s">
        <v>255</v>
      </c>
      <c r="D207" s="108"/>
      <c r="E207" s="94"/>
      <c r="F207" s="280"/>
      <c r="G207" s="280"/>
      <c r="H207" s="280" t="s">
        <v>93</v>
      </c>
      <c r="I207" s="281"/>
      <c r="J207" s="279"/>
      <c r="K207" s="45"/>
      <c r="L207" s="294"/>
      <c r="M207" s="45"/>
      <c r="N207" s="22" t="s">
        <v>76</v>
      </c>
      <c r="DR207" s="24"/>
      <c r="DS207" s="24"/>
      <c r="DT207" s="24"/>
    </row>
    <row r="208" spans="1:124" s="22" customFormat="1" ht="15" customHeight="1" outlineLevel="1">
      <c r="A208" s="297" t="str">
        <f t="shared" si="9"/>
        <v>11.2</v>
      </c>
      <c r="B208" s="32"/>
      <c r="C208" s="98" t="s">
        <v>256</v>
      </c>
      <c r="D208" s="108"/>
      <c r="E208" s="94" t="str">
        <f>IFERROR(INDEX('[1]CA100 2023 Scores'!$E$5:$N$78, MATCH('Company Scorecard - select'!$A217, '[1]CA100 2023 Scores'!$A$5:$A$78, 0), MATCH('Company Scorecard - select'!$C$5, '[1]CA100 2023 Scores'!$E$1:$N$1, 0)), "")</f>
        <v/>
      </c>
      <c r="F208" s="280" t="s">
        <v>93</v>
      </c>
      <c r="G208" s="280"/>
      <c r="H208" s="279"/>
      <c r="I208" s="291"/>
      <c r="J208" s="279"/>
      <c r="K208" s="45"/>
      <c r="L208" s="294"/>
      <c r="M208" s="45"/>
      <c r="N208" s="22" t="s">
        <v>76</v>
      </c>
      <c r="DR208" s="24"/>
      <c r="DS208" s="24"/>
      <c r="DT208" s="24"/>
    </row>
    <row r="209" spans="1:124" s="22" customFormat="1" ht="15" customHeight="1" outlineLevel="2">
      <c r="A209" s="297" t="str">
        <f t="shared" si="9"/>
        <v>11.2.a</v>
      </c>
      <c r="B209" s="32"/>
      <c r="C209" s="99" t="s">
        <v>257</v>
      </c>
      <c r="D209" s="108"/>
      <c r="E209" s="94" t="str">
        <f>IFERROR(INDEX('[1]CA100 2023 Scores'!$E$5:$N$78, MATCH('Company Scorecard - select'!$A218, '[1]CA100 2023 Scores'!$A$5:$A$78, 0), MATCH('Company Scorecard - select'!$C$5, '[1]CA100 2023 Scores'!$E$1:$N$1, 0)), "")</f>
        <v/>
      </c>
      <c r="F209" s="280" t="s">
        <v>93</v>
      </c>
      <c r="G209" s="280"/>
      <c r="H209" s="279"/>
      <c r="I209" s="281"/>
      <c r="J209" s="279"/>
      <c r="K209" s="45"/>
      <c r="L209" s="294"/>
      <c r="M209" s="45"/>
      <c r="N209" s="22" t="s">
        <v>76</v>
      </c>
      <c r="DR209" s="24"/>
      <c r="DS209" s="24"/>
      <c r="DT209" s="24"/>
    </row>
    <row r="210" spans="1:124" s="22" customFormat="1" ht="15" customHeight="1" outlineLevel="2">
      <c r="A210" s="297" t="str">
        <f t="shared" si="9"/>
        <v>11.2.b</v>
      </c>
      <c r="B210" s="32"/>
      <c r="C210" s="99" t="s">
        <v>258</v>
      </c>
      <c r="D210" s="108"/>
      <c r="E210" s="94" t="str">
        <f>IFERROR(INDEX('[1]CA100 2023 Scores'!$E$5:$N$78, MATCH('Company Scorecard - select'!$A219, '[1]CA100 2023 Scores'!$A$5:$A$78, 0), MATCH('Company Scorecard - select'!$C$5, '[1]CA100 2023 Scores'!$E$1:$N$1, 0)), "")</f>
        <v/>
      </c>
      <c r="F210" s="280" t="s">
        <v>93</v>
      </c>
      <c r="G210" s="280"/>
      <c r="H210" s="279"/>
      <c r="I210" s="281"/>
      <c r="J210" s="279"/>
      <c r="K210" s="45"/>
      <c r="L210" s="294"/>
      <c r="M210" s="45"/>
      <c r="N210" s="22" t="s">
        <v>76</v>
      </c>
      <c r="DR210" s="24"/>
      <c r="DS210" s="24"/>
      <c r="DT210" s="24"/>
    </row>
    <row r="211" spans="1:124" s="22" customFormat="1" ht="15" customHeight="1" outlineLevel="2">
      <c r="A211" s="297" t="str">
        <f t="shared" si="9"/>
        <v>11.2.c</v>
      </c>
      <c r="B211" s="32"/>
      <c r="C211" s="99" t="s">
        <v>259</v>
      </c>
      <c r="D211" s="108"/>
      <c r="E211" s="94" t="str">
        <f>IFERROR(INDEX('[1]CA100 2023 Scores'!$E$5:$N$78, MATCH('Company Scorecard - select'!$A220, '[1]CA100 2023 Scores'!$A$5:$A$78, 0), MATCH('Company Scorecard - select'!$C$5, '[1]CA100 2023 Scores'!$E$1:$N$1, 0)), "")</f>
        <v/>
      </c>
      <c r="F211" s="280" t="s">
        <v>93</v>
      </c>
      <c r="G211" s="280"/>
      <c r="H211" s="290"/>
      <c r="I211" s="291"/>
      <c r="J211" s="279"/>
      <c r="K211" s="45"/>
      <c r="L211" s="294"/>
      <c r="M211" s="45"/>
      <c r="N211" s="22" t="s">
        <v>76</v>
      </c>
      <c r="DR211" s="24"/>
      <c r="DS211" s="24"/>
      <c r="DT211" s="24"/>
    </row>
    <row r="212" spans="1:124" s="22" customFormat="1" ht="7.5" customHeight="1" thickBot="1">
      <c r="A212" s="296"/>
      <c r="B212" s="109"/>
      <c r="C212" s="75" t="s">
        <v>81</v>
      </c>
      <c r="D212" s="76"/>
      <c r="E212" s="28"/>
      <c r="F212" s="28"/>
      <c r="G212" s="28"/>
      <c r="H212" s="28"/>
      <c r="I212" s="28"/>
      <c r="J212" s="28"/>
      <c r="K212" s="28"/>
      <c r="L212" s="253"/>
      <c r="N212" s="22" t="s">
        <v>76</v>
      </c>
      <c r="DR212" s="24"/>
      <c r="DS212" s="24"/>
      <c r="DT212" s="24"/>
    </row>
    <row r="213" spans="1:124" s="22" customFormat="1" ht="7.5" customHeight="1">
      <c r="A213" s="43"/>
      <c r="N213" s="22" t="s">
        <v>76</v>
      </c>
      <c r="DQ213" s="24"/>
      <c r="DR213" s="24"/>
      <c r="DS213" s="24"/>
    </row>
    <row r="214" spans="1:124" s="22" customFormat="1" ht="72" customHeight="1">
      <c r="A214" s="43"/>
      <c r="B214" s="39"/>
      <c r="C214" s="366"/>
      <c r="D214" s="366"/>
      <c r="E214" s="366"/>
      <c r="F214" s="366"/>
      <c r="G214" s="366"/>
      <c r="H214" s="366"/>
      <c r="I214" s="366"/>
      <c r="J214" s="366"/>
      <c r="K214" s="366"/>
      <c r="L214" s="366"/>
      <c r="M214" s="366"/>
      <c r="N214" s="22" t="s">
        <v>76</v>
      </c>
      <c r="DQ214" s="24"/>
      <c r="DR214" s="24"/>
      <c r="DS214" s="24"/>
    </row>
    <row r="215" spans="1:124" s="22" customFormat="1" ht="15" customHeight="1">
      <c r="A215" s="43"/>
      <c r="DQ215" s="24"/>
      <c r="DR215" s="24"/>
      <c r="DS215" s="24"/>
    </row>
    <row r="216" spans="1:124" ht="15" customHeight="1">
      <c r="O216" s="22"/>
    </row>
    <row r="217" spans="1:124" ht="17.149999999999999" hidden="1" customHeight="1">
      <c r="O217" s="22"/>
    </row>
    <row r="218" spans="1:124" s="22" customFormat="1" ht="17.149999999999999" hidden="1" customHeight="1">
      <c r="A218" s="43"/>
      <c r="DQ218" s="24"/>
      <c r="DR218" s="24"/>
      <c r="DS218" s="24"/>
    </row>
    <row r="219" spans="1:124" s="22" customFormat="1" ht="17.149999999999999" hidden="1" customHeight="1">
      <c r="A219" s="43"/>
      <c r="DQ219" s="24"/>
      <c r="DR219" s="24"/>
      <c r="DS219" s="24"/>
    </row>
    <row r="220" spans="1:124" s="22" customFormat="1" ht="15" customHeight="1">
      <c r="A220" s="43"/>
      <c r="DQ220" s="24"/>
      <c r="DR220" s="24"/>
      <c r="DS220" s="24"/>
    </row>
    <row r="221" spans="1:124" ht="17.149999999999999" hidden="1" customHeight="1"/>
    <row r="222" spans="1:124" ht="17.149999999999999" hidden="1" customHeight="1"/>
    <row r="223" spans="1:124" ht="17.149999999999999" hidden="1" customHeight="1"/>
    <row r="224" spans="1:124" ht="7.5" customHeight="1"/>
    <row r="225" ht="11.5"/>
    <row r="226" ht="11.5"/>
    <row r="227" ht="11.5"/>
    <row r="228" ht="11.5"/>
    <row r="229" ht="11.5"/>
    <row r="230" ht="11.5"/>
    <row r="231" ht="11.5"/>
    <row r="232" ht="11.5"/>
    <row r="233" ht="11.5"/>
    <row r="234" ht="11.5"/>
    <row r="235" ht="11.5"/>
    <row r="236" ht="11.5"/>
    <row r="237" ht="11.5"/>
    <row r="238" ht="11.5"/>
    <row r="239" ht="11.5"/>
    <row r="240" ht="11.5"/>
    <row r="241" ht="11.5"/>
    <row r="242" ht="11.5"/>
    <row r="243" ht="11.5"/>
    <row r="244" ht="11.5"/>
    <row r="245" ht="11.5"/>
    <row r="246" ht="11.5"/>
    <row r="247" ht="11.5"/>
    <row r="248" ht="11.5"/>
    <row r="249" ht="11.5"/>
    <row r="250" ht="11.5"/>
    <row r="251" ht="11.5"/>
    <row r="252" ht="11.5"/>
    <row r="253" ht="11.5"/>
    <row r="254" ht="11.5"/>
    <row r="255" ht="11.5"/>
    <row r="256" ht="11.5"/>
    <row r="257" ht="11.5"/>
    <row r="258" ht="11.5"/>
    <row r="259" ht="11.5"/>
    <row r="260" ht="11.5"/>
    <row r="261" ht="11.5"/>
    <row r="262" ht="11.5"/>
    <row r="263" ht="11.5"/>
    <row r="264" ht="11.5"/>
    <row r="265" ht="11.5"/>
    <row r="266" ht="11.5"/>
    <row r="267" ht="11.5"/>
    <row r="268" ht="11.5"/>
    <row r="269" ht="11.5"/>
    <row r="270" ht="11.5"/>
    <row r="271" ht="11.5"/>
    <row r="272" ht="11.5"/>
    <row r="273" ht="11.5"/>
    <row r="274" ht="11.5"/>
    <row r="275" ht="11.5"/>
    <row r="276" ht="11.5"/>
    <row r="277" ht="11.5"/>
    <row r="278" ht="11.5"/>
    <row r="279" ht="11.5"/>
    <row r="280" ht="11.5"/>
    <row r="281" ht="11.5"/>
    <row r="282" ht="11.5"/>
    <row r="283" ht="11.5"/>
    <row r="284" ht="11.5"/>
    <row r="285" ht="11.5"/>
    <row r="286" ht="11.5"/>
    <row r="287" ht="11.5"/>
    <row r="288" ht="11.5"/>
    <row r="289" ht="11.5"/>
    <row r="290" ht="11.5"/>
    <row r="291" ht="11.5"/>
    <row r="292" ht="11.5"/>
    <row r="293" ht="11.5"/>
    <row r="294" ht="11.5"/>
    <row r="295" ht="11.5"/>
    <row r="296" ht="11.5"/>
    <row r="297" ht="11.5"/>
    <row r="298" ht="11.5"/>
    <row r="299" ht="11.5"/>
    <row r="300" ht="11.5"/>
    <row r="301" ht="11.5"/>
    <row r="302" ht="11.5"/>
    <row r="303" ht="11.5"/>
    <row r="304" ht="11.5"/>
    <row r="305" ht="11.5"/>
    <row r="306" ht="11.5"/>
    <row r="307" ht="11.5"/>
    <row r="308" ht="11.5"/>
    <row r="309" ht="11.5"/>
    <row r="310" ht="11.5"/>
    <row r="311" ht="11.5"/>
    <row r="312" ht="11.5"/>
    <row r="313" ht="11.5"/>
    <row r="314" ht="11.5"/>
    <row r="315" ht="11.5"/>
    <row r="316" ht="11.5"/>
    <row r="317" ht="11.5"/>
    <row r="318" ht="11.5"/>
    <row r="319" ht="11.5"/>
    <row r="320" ht="11.5"/>
    <row r="321" ht="11.5"/>
    <row r="322" ht="11.5"/>
    <row r="323" ht="11.5"/>
    <row r="324" ht="11.5"/>
    <row r="325" ht="11.5"/>
    <row r="326" ht="11.5"/>
    <row r="327" ht="11.5"/>
    <row r="328" ht="11.5"/>
    <row r="329" ht="11.5"/>
    <row r="330" ht="11.5"/>
    <row r="331" ht="11.5"/>
    <row r="332" ht="11.5"/>
    <row r="333" ht="11.5"/>
    <row r="334" ht="11.5"/>
    <row r="335" ht="11.5"/>
    <row r="336" ht="11.5"/>
    <row r="337" ht="11.5"/>
    <row r="338" ht="11.5"/>
    <row r="339" ht="11.5"/>
    <row r="340" ht="11.5"/>
    <row r="341" ht="11.5"/>
    <row r="342" ht="11.5"/>
    <row r="343" ht="11.5"/>
    <row r="344" ht="11.5"/>
    <row r="345" ht="11.5"/>
    <row r="346" ht="11.5"/>
    <row r="347" ht="11.5"/>
    <row r="348" ht="11.5"/>
    <row r="349" ht="11.5"/>
    <row r="350" ht="11.5"/>
    <row r="351" ht="11.5"/>
    <row r="352" ht="11.5"/>
    <row r="353" ht="11.5"/>
    <row r="354" ht="11.5"/>
    <row r="355" ht="11.5"/>
    <row r="356" ht="11.5"/>
    <row r="357" ht="11.5"/>
    <row r="358" ht="11.5"/>
    <row r="359" ht="11.5"/>
    <row r="360" ht="11.5"/>
    <row r="361" ht="11.5"/>
    <row r="362" ht="11.5"/>
    <row r="363" ht="11.5"/>
    <row r="364" ht="11.5"/>
    <row r="365" ht="11.5"/>
    <row r="366" ht="11.5"/>
    <row r="367" ht="11.5"/>
    <row r="368" ht="11.5"/>
    <row r="369" ht="11.5"/>
    <row r="370" ht="11.5"/>
    <row r="371" ht="11.5"/>
    <row r="372" ht="11.5"/>
    <row r="373" ht="11.5"/>
    <row r="374" ht="11.5"/>
    <row r="375" ht="11.5"/>
    <row r="376" ht="11.5"/>
    <row r="377" ht="11.5"/>
    <row r="378" ht="11.5"/>
    <row r="379" ht="11.5"/>
    <row r="380" ht="11.5"/>
    <row r="381" ht="11.5"/>
    <row r="382" ht="11.5"/>
    <row r="383" ht="11.5"/>
    <row r="384" ht="11.5"/>
    <row r="385" ht="11.5"/>
    <row r="386" ht="11.5"/>
    <row r="387" ht="11.5"/>
    <row r="388" ht="11.5"/>
    <row r="389" ht="11.5"/>
    <row r="390" ht="11.5"/>
    <row r="391" ht="11.5"/>
    <row r="392" ht="11.5"/>
    <row r="393" ht="11.5"/>
    <row r="394" ht="11.5"/>
    <row r="395" ht="11.5"/>
    <row r="396" ht="11.5"/>
    <row r="397" ht="11.5"/>
    <row r="398" ht="11.5"/>
    <row r="399" ht="11.5"/>
    <row r="400" ht="11.5"/>
    <row r="401" ht="11.5"/>
    <row r="402" ht="11.5"/>
    <row r="403" ht="11.5"/>
    <row r="404" ht="11.5"/>
    <row r="405" ht="11.5"/>
    <row r="406" ht="11.5"/>
    <row r="407" ht="11.5"/>
    <row r="408" ht="11.5"/>
    <row r="409" ht="11.5"/>
    <row r="410" ht="11.5"/>
    <row r="411" ht="11.5"/>
    <row r="412" ht="11.5"/>
    <row r="413" ht="11.5"/>
    <row r="414" ht="11.5"/>
    <row r="415" ht="11.5"/>
    <row r="416" ht="11.5"/>
    <row r="417" ht="11.5"/>
    <row r="418" ht="11.5"/>
    <row r="419" ht="11.5"/>
    <row r="420" ht="11.5"/>
    <row r="421" ht="11.5"/>
    <row r="422" ht="11.5"/>
    <row r="423" ht="11.5"/>
    <row r="424" ht="11.5"/>
    <row r="425" ht="11.5"/>
    <row r="426" ht="11.5"/>
    <row r="427" ht="11.5"/>
    <row r="428" ht="11.5"/>
    <row r="429" ht="11.5"/>
    <row r="430" ht="11.5"/>
    <row r="431" ht="11.5"/>
    <row r="432" ht="11.5"/>
    <row r="433" ht="11.5"/>
    <row r="434" ht="11.5"/>
    <row r="435" ht="11.5"/>
    <row r="436" ht="11.5"/>
    <row r="437" ht="11.5"/>
    <row r="438" ht="11.5"/>
    <row r="439" ht="11.5"/>
    <row r="440" ht="11.5"/>
    <row r="441" ht="11.5"/>
    <row r="442" ht="11.5"/>
    <row r="443" ht="11.5"/>
    <row r="444" ht="11.5"/>
    <row r="445" ht="11.5"/>
    <row r="446" ht="11.5"/>
    <row r="447" ht="11.5"/>
    <row r="448" ht="11.5"/>
    <row r="449" ht="11.5"/>
    <row r="450" ht="11.5"/>
    <row r="451" ht="11.5"/>
    <row r="452" ht="11.5"/>
    <row r="453" ht="11.5"/>
    <row r="454" ht="11.5"/>
    <row r="455" ht="11.5"/>
    <row r="456" ht="11.5"/>
    <row r="457" ht="11.5"/>
    <row r="458" ht="11.5"/>
    <row r="459" ht="11.5"/>
    <row r="460" ht="11.5"/>
    <row r="461" ht="11.5"/>
    <row r="462" ht="11.5"/>
    <row r="463" ht="11.5"/>
    <row r="464" ht="11.5"/>
    <row r="465" ht="11.5"/>
    <row r="466" ht="11.5"/>
    <row r="467" ht="11.5"/>
    <row r="468" ht="11.5"/>
    <row r="469" ht="11.5"/>
    <row r="470" ht="11.5"/>
    <row r="471" ht="11.5"/>
    <row r="472" ht="11.5"/>
    <row r="473" ht="11.5"/>
    <row r="474" ht="11.5"/>
    <row r="475" ht="11.5"/>
    <row r="476" ht="11.5"/>
    <row r="477" ht="11.5"/>
    <row r="478" ht="11.5"/>
    <row r="479" ht="11.5"/>
    <row r="480" ht="11.5"/>
    <row r="481" ht="11.5"/>
    <row r="482" ht="11.5"/>
    <row r="483" ht="11.5"/>
    <row r="484" ht="11.5"/>
    <row r="485" ht="11.5"/>
    <row r="486" ht="11.5"/>
    <row r="487" ht="11.5"/>
    <row r="488" ht="11.5"/>
    <row r="489" ht="11.5"/>
    <row r="490" ht="11.5"/>
    <row r="491" ht="11.5"/>
    <row r="492" ht="11.5"/>
    <row r="493" ht="11.5"/>
    <row r="494" ht="11.5"/>
    <row r="495" ht="11.5"/>
    <row r="496" ht="11.5"/>
    <row r="497" ht="11.5"/>
    <row r="498" ht="11.5"/>
    <row r="499" ht="11.5"/>
    <row r="500" ht="11.5"/>
    <row r="501" ht="11.5"/>
    <row r="502" ht="11.5"/>
    <row r="503" ht="11.5"/>
    <row r="504" ht="11.5"/>
    <row r="505" ht="11.5"/>
    <row r="506" ht="11.5"/>
    <row r="507" ht="11.5"/>
    <row r="508" ht="11.5"/>
    <row r="509" ht="11.5"/>
    <row r="510" ht="11.5"/>
    <row r="511" ht="11.5"/>
    <row r="512" ht="11.5"/>
    <row r="513" ht="11.5"/>
    <row r="514" ht="11.5"/>
    <row r="515" ht="11.5"/>
    <row r="516" ht="11.5"/>
    <row r="517" ht="11.5"/>
    <row r="518" ht="11.5"/>
    <row r="519" ht="11.5"/>
    <row r="520" ht="11.5"/>
    <row r="521" ht="11.5"/>
    <row r="522" ht="11.5"/>
    <row r="523" ht="11.5"/>
    <row r="524" ht="11.5"/>
    <row r="525" ht="11.5"/>
    <row r="526" ht="11.5"/>
    <row r="527" ht="11.5"/>
    <row r="528" ht="11.5"/>
    <row r="529" ht="11.5"/>
    <row r="530" ht="11.5"/>
    <row r="531" ht="11.5"/>
    <row r="532" ht="11.5"/>
    <row r="533" ht="11.5"/>
    <row r="534" ht="11.5"/>
    <row r="535" ht="11.5"/>
    <row r="536" ht="11.5"/>
    <row r="537" ht="11.5"/>
    <row r="538" ht="11.5"/>
    <row r="539" ht="11.5"/>
    <row r="540" ht="11.5"/>
    <row r="541" ht="11.5"/>
    <row r="542" ht="11.5"/>
    <row r="543" ht="11.5"/>
    <row r="544" ht="11.5"/>
    <row r="545" ht="11.5"/>
    <row r="546" ht="11.5"/>
    <row r="547" ht="11.5"/>
    <row r="548" ht="11.5"/>
    <row r="549" ht="11.5"/>
    <row r="550" ht="11.5"/>
    <row r="551" ht="11.5"/>
    <row r="552" ht="11.5"/>
    <row r="553" ht="11.5"/>
    <row r="554" ht="11.5"/>
    <row r="555" ht="11.5"/>
    <row r="556" ht="11.5"/>
    <row r="557" ht="11.5"/>
    <row r="558" ht="11.5"/>
    <row r="559" ht="11.5"/>
    <row r="560" ht="11.5"/>
    <row r="561" ht="11.5"/>
    <row r="562" ht="11.5"/>
    <row r="563" ht="11.5"/>
    <row r="564" ht="11.5"/>
    <row r="565" ht="11.5"/>
    <row r="566" ht="11.5"/>
    <row r="567" ht="11.5"/>
    <row r="568" ht="11.5"/>
    <row r="569" ht="11.5"/>
    <row r="570" ht="11.5"/>
    <row r="571" ht="11.5"/>
    <row r="572" ht="11.5"/>
    <row r="573" ht="11.5"/>
    <row r="574" ht="11.5"/>
    <row r="575" ht="11.5"/>
    <row r="576" ht="11.5"/>
    <row r="577" ht="11.5"/>
    <row r="578" ht="11.5"/>
    <row r="579" ht="11.5"/>
    <row r="580" ht="11.5"/>
    <row r="581" ht="11.5"/>
    <row r="582" ht="11.5"/>
    <row r="583" ht="11.5"/>
    <row r="584" ht="11.5"/>
    <row r="585" ht="11.5"/>
    <row r="586" ht="11.5"/>
    <row r="587" ht="11.5"/>
    <row r="588" ht="11.5"/>
    <row r="589" ht="11.5"/>
    <row r="590" ht="11.5"/>
    <row r="591" ht="11.5"/>
    <row r="592" ht="11.5"/>
    <row r="593" ht="11.5"/>
    <row r="594" ht="11.5"/>
    <row r="595" ht="11.5"/>
    <row r="596" ht="11.5"/>
    <row r="597" ht="11.5"/>
    <row r="598" ht="11.5"/>
    <row r="599" ht="11.5"/>
    <row r="600" ht="11.5"/>
    <row r="601" ht="11.5"/>
    <row r="602" ht="11.5"/>
    <row r="603" ht="11.5"/>
    <row r="604" ht="11.5"/>
    <row r="605" ht="11.5"/>
    <row r="606" ht="11.5"/>
    <row r="607" ht="11.5"/>
    <row r="608" ht="11.5"/>
    <row r="609" ht="11.5"/>
    <row r="610" ht="11.5"/>
    <row r="611" ht="11.5"/>
    <row r="612" ht="11.5"/>
    <row r="613" ht="11.5"/>
    <row r="614" ht="11.5"/>
    <row r="615" ht="11.5"/>
    <row r="616" ht="11.5"/>
    <row r="617" ht="11.5"/>
    <row r="618" ht="11.5"/>
    <row r="619" ht="11.5"/>
    <row r="620" ht="11.5"/>
    <row r="621" ht="11.5"/>
    <row r="622" ht="11.5"/>
    <row r="623" ht="11.5"/>
    <row r="624" ht="11.5"/>
    <row r="625" ht="11.5"/>
    <row r="626" ht="11.5"/>
    <row r="627" ht="11.5"/>
    <row r="628" ht="11.5"/>
    <row r="629" ht="11.5"/>
    <row r="630" ht="11.5"/>
    <row r="631" ht="11.5"/>
    <row r="632" ht="11.5"/>
    <row r="633" ht="11.5"/>
    <row r="634" ht="11.5"/>
    <row r="635" ht="11.5"/>
    <row r="636" ht="11.5"/>
    <row r="637" ht="11.5"/>
    <row r="638" ht="11.5"/>
    <row r="639" ht="11.5"/>
    <row r="640" ht="11.5"/>
    <row r="641" ht="11.5"/>
    <row r="642" ht="11.5"/>
    <row r="643" ht="11.5"/>
    <row r="644" ht="11.5"/>
    <row r="645" ht="11.5"/>
    <row r="646" ht="11.5"/>
    <row r="647" ht="11.5"/>
    <row r="648" ht="11.5"/>
    <row r="649" ht="11.5"/>
    <row r="650" ht="11.5"/>
    <row r="651" ht="11.5"/>
    <row r="652" ht="11.5"/>
    <row r="653" ht="11.5"/>
    <row r="654" ht="11.5"/>
    <row r="655" ht="11.5"/>
    <row r="656" ht="11.5"/>
    <row r="657" ht="11.5"/>
    <row r="658" ht="11.5"/>
    <row r="659" ht="11.5"/>
    <row r="660" ht="11.5"/>
    <row r="661" ht="11.5"/>
    <row r="662" ht="11.5"/>
    <row r="663" ht="11.5"/>
    <row r="664" ht="11.5"/>
    <row r="665" ht="11.5"/>
    <row r="666" ht="11.5"/>
    <row r="667" ht="11.5"/>
    <row r="668" ht="11.5"/>
    <row r="669" ht="11.5"/>
    <row r="670" ht="11.5"/>
    <row r="671" ht="11.5"/>
    <row r="672" ht="11.5"/>
    <row r="673" ht="11.5"/>
    <row r="674" ht="11.5"/>
    <row r="675" ht="11.5"/>
    <row r="676" ht="11.5"/>
    <row r="677" ht="11.5"/>
    <row r="678" ht="11.5"/>
    <row r="679" ht="11.5"/>
    <row r="680" ht="11.5"/>
    <row r="681" ht="11.5"/>
    <row r="682" ht="11.5"/>
    <row r="683" ht="11.5"/>
    <row r="684" ht="11.5"/>
    <row r="685" ht="11.5"/>
    <row r="686" ht="11.5"/>
    <row r="687" ht="11.5"/>
    <row r="688" ht="11.5"/>
    <row r="689" ht="11.5"/>
    <row r="690" ht="11.5"/>
    <row r="691" ht="11.5"/>
    <row r="692" ht="11.5"/>
    <row r="693" ht="11.5"/>
    <row r="694" ht="11.5"/>
    <row r="695" ht="11.5"/>
    <row r="696" ht="11.5"/>
    <row r="697" ht="11.5"/>
    <row r="698" ht="11.5"/>
    <row r="699" ht="11.5"/>
    <row r="700" ht="11.5"/>
    <row r="701" ht="11.5"/>
    <row r="702" ht="11.5"/>
    <row r="703" ht="11.5"/>
    <row r="704" ht="11.5"/>
    <row r="705" ht="11.5"/>
    <row r="706" ht="11.5"/>
    <row r="707" ht="11.5"/>
    <row r="708" ht="11.5"/>
    <row r="709" ht="11.5"/>
    <row r="710" ht="11.5"/>
    <row r="711" ht="11.5"/>
    <row r="712" ht="11.5"/>
    <row r="713" ht="11.5"/>
    <row r="714" ht="11.5"/>
    <row r="715" ht="11.5"/>
    <row r="716" ht="11.5"/>
    <row r="717" ht="11.5"/>
    <row r="718" ht="11.5"/>
    <row r="719" ht="11.5"/>
    <row r="720" ht="11.5"/>
    <row r="721" ht="11.5"/>
    <row r="722" ht="11.5"/>
    <row r="723" ht="11.5"/>
    <row r="724" ht="11.5"/>
    <row r="725" ht="11.5"/>
    <row r="726" ht="11.5"/>
    <row r="727" ht="11.5"/>
    <row r="728" ht="11.5"/>
    <row r="729" ht="11.5"/>
    <row r="730" ht="11.5"/>
    <row r="731" ht="11.5"/>
    <row r="732" ht="11.5"/>
    <row r="733" ht="11.5"/>
    <row r="734" ht="11.5"/>
    <row r="735" ht="11.5"/>
    <row r="736" ht="11.5"/>
    <row r="737" ht="11.5"/>
    <row r="738" ht="11.5"/>
    <row r="739" ht="11.5"/>
    <row r="740" ht="11.5"/>
    <row r="741" ht="11.5"/>
    <row r="742" ht="11.5"/>
    <row r="743" ht="11.5"/>
    <row r="744" ht="11.5"/>
    <row r="745" ht="11.5"/>
    <row r="746" ht="11.5"/>
    <row r="747" ht="11.5"/>
    <row r="748" ht="11.5"/>
    <row r="749" ht="11.5"/>
    <row r="750" ht="11.5"/>
    <row r="751" ht="11.5"/>
    <row r="752" ht="11.5"/>
    <row r="753" ht="11.5"/>
    <row r="754" ht="11.5"/>
    <row r="755" ht="11.5"/>
    <row r="756" ht="11.5"/>
    <row r="757" ht="11.5"/>
    <row r="758" ht="11.5"/>
    <row r="759" ht="11.5"/>
    <row r="760" ht="11.5"/>
    <row r="761" ht="11.5"/>
    <row r="762" ht="11.5"/>
    <row r="763" ht="11.5"/>
    <row r="764" ht="11.5"/>
    <row r="765" ht="11.5"/>
    <row r="766" ht="11.5"/>
    <row r="767" ht="11.5"/>
    <row r="768" ht="11.5"/>
    <row r="769" ht="11.5"/>
    <row r="770" ht="11.5"/>
    <row r="771" ht="11.5"/>
    <row r="772" ht="11.5"/>
    <row r="773" ht="11.5"/>
    <row r="774" ht="11.5"/>
    <row r="775" ht="11.5"/>
    <row r="776" ht="11.5"/>
    <row r="777" ht="11.5"/>
    <row r="778" ht="11.5"/>
    <row r="779" ht="11.5"/>
    <row r="780" ht="11.5"/>
    <row r="781" ht="11.5"/>
    <row r="782" ht="11.5"/>
    <row r="783" ht="11.5"/>
    <row r="784" ht="11.5"/>
    <row r="785" ht="11.5"/>
    <row r="786" ht="11.5"/>
    <row r="787" ht="11.5"/>
    <row r="788" ht="11.5"/>
    <row r="789" ht="11.5"/>
    <row r="790" ht="11.5"/>
    <row r="791" ht="11.5"/>
    <row r="792" ht="11.5"/>
    <row r="793" ht="11.5"/>
    <row r="794" ht="11.5"/>
    <row r="795" ht="11.5"/>
    <row r="796" ht="11.5"/>
    <row r="797" ht="11.5"/>
    <row r="798" ht="11.5"/>
    <row r="799" ht="11.5"/>
    <row r="800" ht="11.5"/>
    <row r="801" ht="11.5"/>
    <row r="802" ht="11.5"/>
    <row r="803" ht="11.5"/>
    <row r="804" ht="11.5"/>
    <row r="805" ht="11.5"/>
    <row r="806" ht="11.5"/>
    <row r="807" ht="11.5"/>
    <row r="808" ht="11.5"/>
    <row r="809" ht="11.5"/>
    <row r="810" ht="11.5"/>
    <row r="811" ht="11.5"/>
    <row r="812" ht="11.5"/>
    <row r="813" ht="11.5"/>
    <row r="814" ht="11.5"/>
    <row r="815" ht="11.5"/>
    <row r="816" ht="11.5"/>
    <row r="817" ht="11.5"/>
    <row r="818" ht="11.5"/>
    <row r="819" ht="11.5"/>
    <row r="820" ht="11.5"/>
    <row r="821" ht="11.5"/>
    <row r="822" ht="11.5"/>
    <row r="823" ht="11.5"/>
    <row r="824" ht="11.5"/>
    <row r="825" ht="11.5"/>
    <row r="826" ht="11.5"/>
    <row r="827" ht="11.5"/>
    <row r="828" ht="11.5"/>
    <row r="829" ht="11.5"/>
    <row r="830" ht="11.5"/>
    <row r="831" ht="11.5"/>
    <row r="832" ht="11.5"/>
    <row r="833" ht="11.5"/>
    <row r="834" ht="11.5"/>
    <row r="835" ht="11.5"/>
    <row r="836" ht="11.5"/>
    <row r="837" ht="11.5"/>
    <row r="838" ht="11.5"/>
    <row r="839" ht="11.5"/>
    <row r="840" ht="11.5"/>
    <row r="841" ht="11.5"/>
    <row r="842" ht="11.5"/>
    <row r="843" ht="11.5"/>
    <row r="844" ht="11.5"/>
    <row r="845" ht="11.5"/>
    <row r="846" ht="11.5"/>
    <row r="847" ht="11.5"/>
    <row r="848" ht="11.5"/>
    <row r="849" ht="11.5"/>
    <row r="850" ht="11.5"/>
    <row r="851" ht="11.5"/>
    <row r="852" ht="11.5"/>
    <row r="853" ht="11.5"/>
    <row r="854" ht="11.5"/>
    <row r="855" ht="11.5"/>
    <row r="856" ht="11.5"/>
    <row r="857" ht="11.5"/>
    <row r="858" ht="11.5"/>
    <row r="859" ht="11.5"/>
    <row r="860" ht="11.5"/>
    <row r="861" ht="11.5"/>
    <row r="862" ht="11.5"/>
    <row r="863" ht="11.5"/>
    <row r="864" ht="11.5"/>
    <row r="865" ht="11.5"/>
    <row r="866" ht="11.5"/>
    <row r="867" ht="11.5"/>
    <row r="868" ht="11.5"/>
    <row r="869" ht="11.5"/>
    <row r="870" ht="11.5"/>
    <row r="871" ht="11.5"/>
    <row r="872" ht="11.5"/>
    <row r="873" ht="11.5"/>
    <row r="874" ht="11.5"/>
    <row r="875" ht="11.5"/>
    <row r="876" ht="11.5"/>
    <row r="877" ht="11.5"/>
    <row r="878" ht="11.5"/>
    <row r="879" ht="11.5"/>
    <row r="880" ht="11.5"/>
    <row r="881" ht="11.5"/>
    <row r="882" ht="11.5"/>
    <row r="883" ht="11.5"/>
    <row r="884" ht="11.5"/>
    <row r="885" ht="11.5"/>
    <row r="886" ht="11.5"/>
    <row r="887" ht="11.5"/>
    <row r="888" ht="11.5"/>
    <row r="889" ht="11.5"/>
    <row r="890" ht="11.5"/>
    <row r="891" ht="11.5"/>
    <row r="892" ht="11.5"/>
    <row r="893" ht="11.5"/>
    <row r="894" ht="11.5"/>
    <row r="895" ht="11.5"/>
    <row r="896" ht="11.5"/>
    <row r="897" ht="11.5"/>
    <row r="898" ht="11.5"/>
    <row r="899" ht="11.5"/>
    <row r="900" ht="11.5"/>
    <row r="901" ht="11.5"/>
    <row r="902" ht="11.5"/>
    <row r="903" ht="11.5"/>
    <row r="904" ht="11.5"/>
    <row r="905" ht="11.5"/>
    <row r="906" ht="11.5"/>
    <row r="907" ht="11.5"/>
    <row r="908" ht="11.5"/>
    <row r="909" ht="11.5"/>
    <row r="910" ht="11.5"/>
    <row r="911" ht="11.5"/>
    <row r="912" ht="11.5"/>
    <row r="913" ht="11.5"/>
    <row r="914" ht="11.5"/>
    <row r="915" ht="11.5"/>
    <row r="916" ht="11.5"/>
    <row r="917" ht="11.5"/>
    <row r="918" ht="11.5"/>
    <row r="919" ht="11.5"/>
    <row r="920" ht="11.5"/>
    <row r="921" ht="11.5"/>
    <row r="922" ht="11.5"/>
    <row r="923" ht="11.5"/>
    <row r="924" ht="11.5"/>
    <row r="925" ht="11.5"/>
    <row r="926" ht="11.5"/>
    <row r="927" ht="11.5"/>
    <row r="928" ht="11.5"/>
    <row r="929" ht="11.5"/>
    <row r="930" ht="11.5"/>
    <row r="931" ht="11.5"/>
    <row r="932" ht="11.5"/>
    <row r="933" ht="11.5"/>
    <row r="934" ht="11.5"/>
    <row r="935" ht="11.5"/>
    <row r="936" ht="11.5"/>
    <row r="937" ht="11.5"/>
    <row r="938" ht="11.5"/>
    <row r="939" ht="11.5"/>
    <row r="940" ht="11.5"/>
    <row r="941" ht="11.5"/>
    <row r="942" ht="11.5"/>
    <row r="943" ht="11.5"/>
    <row r="944" ht="11.5"/>
    <row r="945" ht="11.5"/>
    <row r="946" ht="11.5"/>
    <row r="947" ht="11.5"/>
    <row r="948" ht="11.5"/>
    <row r="949" ht="11.5"/>
    <row r="950" ht="11.5"/>
    <row r="951" ht="11.5"/>
    <row r="952" ht="11.5"/>
    <row r="953" ht="11.5"/>
    <row r="954" ht="11.5"/>
    <row r="955" ht="11.5"/>
    <row r="956" ht="11.5"/>
    <row r="957" ht="11.5"/>
    <row r="958" ht="11.5"/>
    <row r="959" ht="11.5"/>
    <row r="960" ht="11.5"/>
    <row r="961" ht="11.5"/>
    <row r="962" ht="11.5"/>
    <row r="963" ht="11.5"/>
    <row r="964" ht="11.5"/>
    <row r="965" ht="11.5"/>
    <row r="966" ht="11.5"/>
    <row r="967" ht="11.5"/>
    <row r="968" ht="11.5"/>
    <row r="969" ht="11.5"/>
    <row r="970" ht="11.5"/>
    <row r="971" ht="11.5"/>
    <row r="972" ht="11.5"/>
    <row r="973" ht="11.5"/>
    <row r="974" ht="11.5"/>
    <row r="975" ht="11.5"/>
    <row r="976" ht="11.5"/>
    <row r="977" ht="11.5"/>
    <row r="978" ht="11.5"/>
    <row r="979" ht="11.5"/>
    <row r="980" ht="11.5"/>
    <row r="981" ht="11.5"/>
    <row r="982" ht="11.5"/>
    <row r="983" ht="11.5"/>
    <row r="984" ht="11.5"/>
    <row r="985" ht="11.5"/>
    <row r="986" ht="11.5"/>
    <row r="987" ht="11.5"/>
    <row r="988" ht="11.5"/>
    <row r="989" ht="11.5"/>
    <row r="990" ht="11.5"/>
    <row r="991" ht="11.5"/>
    <row r="992" ht="11.5"/>
    <row r="993" ht="11.5"/>
    <row r="994" ht="11.5"/>
    <row r="995" ht="11.5"/>
    <row r="996" ht="11.5"/>
    <row r="997" ht="11.5"/>
    <row r="998" ht="11.5"/>
    <row r="999" ht="11.5"/>
    <row r="1000" ht="11.5"/>
    <row r="1001" ht="11.5"/>
    <row r="1002" ht="11.5"/>
    <row r="1003" ht="11.5"/>
    <row r="1004" ht="11.5"/>
    <row r="1005" ht="11.5"/>
    <row r="1006" ht="11.5"/>
    <row r="1007" ht="11.5"/>
    <row r="1008" ht="11.5"/>
    <row r="1009" ht="11.5"/>
    <row r="1010" ht="11.5"/>
    <row r="1011" ht="11.5"/>
    <row r="1012" ht="11.5"/>
    <row r="1013" ht="11.5"/>
    <row r="1014" ht="11.5"/>
    <row r="1015" ht="11.5"/>
    <row r="1016" ht="11.5"/>
    <row r="1017" ht="11.5"/>
    <row r="1018" ht="11.5"/>
    <row r="1019" ht="11.5"/>
    <row r="1020" ht="11.5"/>
    <row r="1021" ht="11.5"/>
    <row r="1022" ht="11.5"/>
    <row r="1023" ht="11.5"/>
    <row r="1024" ht="11.5"/>
    <row r="1025" ht="11.5"/>
    <row r="1026" ht="11.5"/>
    <row r="1027" ht="11.5"/>
    <row r="1028" ht="11.5"/>
    <row r="1029" ht="11.5"/>
    <row r="1030" ht="11.5"/>
    <row r="1031" ht="11.5"/>
    <row r="1032" ht="11.5"/>
    <row r="1033" ht="11.5"/>
    <row r="1034" ht="11.5"/>
    <row r="1035" ht="11.5"/>
    <row r="1036" ht="11.5"/>
    <row r="1037" ht="11.5"/>
    <row r="1038" ht="11.5"/>
    <row r="1039" ht="11.5"/>
    <row r="1040" ht="11.5"/>
    <row r="1041" ht="11.5"/>
    <row r="1042" ht="11.5"/>
    <row r="1043" ht="11.5"/>
    <row r="1044" ht="11.5"/>
    <row r="1045" ht="11.5"/>
    <row r="1046" ht="11.5"/>
    <row r="1047" ht="11.5"/>
    <row r="1048" ht="11.5"/>
    <row r="1049" ht="11.5"/>
    <row r="1050" ht="11.5"/>
    <row r="1051" ht="11.5"/>
    <row r="1052" ht="11.5"/>
    <row r="1053" ht="11.5"/>
    <row r="1054" ht="11.5"/>
    <row r="1055" ht="11.5"/>
    <row r="1056" ht="11.5"/>
    <row r="1057" ht="11.5"/>
    <row r="1058" ht="11.5"/>
    <row r="1059" ht="11.5"/>
    <row r="1060" ht="11.5"/>
    <row r="1061" ht="11.5"/>
    <row r="1062" ht="11.5"/>
    <row r="1063" ht="11.5"/>
    <row r="1064" ht="11.5"/>
    <row r="1065" ht="11.5"/>
    <row r="1066" ht="11.5"/>
    <row r="1067" ht="11.5"/>
    <row r="1068" ht="11.5"/>
    <row r="1069" ht="11.5"/>
    <row r="1070" ht="11.5"/>
    <row r="1071" ht="11.5"/>
    <row r="1072" ht="11.5"/>
    <row r="1073" ht="11.5"/>
    <row r="1074" ht="11.5"/>
    <row r="1075" ht="11.5"/>
    <row r="1076" ht="11.5"/>
    <row r="1077" ht="11.5"/>
    <row r="1078" ht="11.5"/>
    <row r="1079" ht="11.5"/>
    <row r="1080" ht="11.5"/>
    <row r="1081" ht="11.5"/>
    <row r="1082" ht="11.5"/>
    <row r="1083" ht="11.5"/>
    <row r="1084" ht="11.5"/>
    <row r="1085" ht="11.5"/>
    <row r="1086" ht="11.5"/>
    <row r="1087" ht="11.5"/>
    <row r="1088" ht="11.5"/>
    <row r="1089" ht="11.5"/>
    <row r="1090" ht="11.5"/>
    <row r="1091" ht="11.5"/>
    <row r="1092" ht="11.5"/>
    <row r="1093" ht="11.5"/>
    <row r="1094" ht="11.5"/>
    <row r="1095" ht="11.5"/>
    <row r="1096" ht="11.5"/>
    <row r="1097" ht="11.5"/>
    <row r="1098" ht="11.5"/>
    <row r="1099" ht="11.5"/>
    <row r="1100" ht="11.5"/>
    <row r="1101" ht="11.5"/>
    <row r="1102" ht="11.5"/>
    <row r="1103" ht="11.5"/>
    <row r="1104" ht="11.5"/>
    <row r="1105" ht="11.5"/>
    <row r="1106" ht="11.5"/>
    <row r="1107" ht="11.5"/>
    <row r="1108" ht="11.5"/>
    <row r="1109" ht="11.5"/>
    <row r="1110" ht="11.5"/>
    <row r="1111" ht="11.5"/>
    <row r="1112" ht="11.5"/>
    <row r="1113" ht="11.5"/>
    <row r="1114" ht="11.5"/>
    <row r="1115" ht="11.5"/>
    <row r="1116" ht="11.5"/>
    <row r="1117" ht="11.5"/>
    <row r="1118" ht="11.5"/>
    <row r="1119" ht="11.5"/>
    <row r="1120" ht="11.5"/>
    <row r="1121" ht="11.5"/>
    <row r="1122" ht="11.5"/>
    <row r="1123" ht="11.5"/>
    <row r="1124" ht="11.5"/>
    <row r="1125" ht="11.5"/>
    <row r="1126" ht="11.5"/>
    <row r="1127" ht="11.5"/>
    <row r="1128" ht="11.5"/>
    <row r="1129" ht="11.5"/>
    <row r="1130" ht="11.5"/>
    <row r="1131" ht="11.5"/>
    <row r="1132" ht="11.5"/>
    <row r="1133" ht="11.5"/>
    <row r="1134" ht="11.5"/>
    <row r="1135" ht="11.5"/>
    <row r="1136" ht="11.5"/>
    <row r="1137" ht="11.5"/>
    <row r="1138" ht="11.5"/>
    <row r="1139" ht="11.5"/>
    <row r="1140" ht="11.5"/>
    <row r="1141" ht="11.5"/>
    <row r="1142" ht="11.5"/>
    <row r="1143" ht="11.5"/>
    <row r="1144" ht="11.5"/>
    <row r="1145" ht="11.5"/>
    <row r="1146" ht="11.5"/>
    <row r="1147" ht="11.5"/>
    <row r="1148" ht="11.5"/>
    <row r="1149" ht="11.5"/>
    <row r="1150" ht="11.5"/>
    <row r="1151" ht="11.5"/>
    <row r="1152" ht="11.5"/>
    <row r="1153" ht="11.5"/>
    <row r="1154" ht="11.5"/>
    <row r="1155" ht="11.5"/>
    <row r="1156" ht="11.5"/>
    <row r="1157" ht="11.5"/>
    <row r="1158" ht="11.5"/>
    <row r="1159" ht="11.5"/>
    <row r="1160" ht="11.5"/>
    <row r="1161" ht="11.5"/>
    <row r="1162" ht="11.5"/>
    <row r="1163" ht="11.5"/>
    <row r="1164" ht="11.5"/>
    <row r="1165" ht="11.5"/>
    <row r="1166" ht="11.5"/>
    <row r="1167" ht="11.5"/>
    <row r="1168" ht="11.5"/>
    <row r="1169" ht="11.5"/>
    <row r="1170" ht="11.5"/>
    <row r="1171" ht="11.5"/>
    <row r="1172" ht="11.5"/>
    <row r="1173" ht="11.5"/>
    <row r="1174" ht="11.5"/>
    <row r="1175" ht="11.5"/>
    <row r="1176" ht="11.5"/>
    <row r="1177" ht="11.5"/>
    <row r="1178" ht="11.5"/>
    <row r="1179" ht="11.5"/>
    <row r="1180" ht="11.5"/>
    <row r="1181" ht="11.5"/>
    <row r="1182" ht="11.5"/>
    <row r="1183" ht="11.5"/>
    <row r="1184" ht="11.5"/>
    <row r="1185" ht="11.5"/>
    <row r="1186" ht="11.5"/>
    <row r="1187" ht="11.5"/>
    <row r="1188" ht="11.5"/>
    <row r="1189" ht="11.5"/>
    <row r="1190" ht="11.5"/>
    <row r="1191" ht="11.5"/>
    <row r="1192" ht="11.5"/>
    <row r="1193" ht="11.5"/>
    <row r="1194" ht="11.5"/>
    <row r="1195" ht="11.5"/>
    <row r="1196" ht="11.5"/>
    <row r="1197" ht="11.5"/>
    <row r="1198" ht="11.5"/>
    <row r="1199" ht="11.5"/>
    <row r="1200" ht="11.5"/>
    <row r="1201" ht="11.5"/>
    <row r="1202" ht="11.5"/>
    <row r="1203" ht="11.5"/>
    <row r="1204" ht="11.5"/>
    <row r="1205" ht="11.5"/>
    <row r="1206" ht="11.5"/>
    <row r="1207" ht="11.5"/>
    <row r="1208" ht="11.5"/>
    <row r="1209" ht="11.5"/>
    <row r="1210" ht="11.5"/>
    <row r="1211" ht="11.5"/>
    <row r="1212" ht="11.5"/>
    <row r="1213" ht="11.5"/>
    <row r="1214" ht="11.5"/>
    <row r="1215" ht="11.5"/>
    <row r="1216" ht="11.5"/>
    <row r="1217" ht="11.5"/>
    <row r="1218" ht="11.5"/>
    <row r="1219" ht="11.5"/>
    <row r="1220" ht="11.5"/>
    <row r="1221" ht="11.5"/>
    <row r="1222" ht="11.5"/>
    <row r="1223" ht="11.5"/>
    <row r="1224" ht="11.5"/>
    <row r="1225" ht="11.5"/>
    <row r="1226" ht="11.5"/>
    <row r="1227" ht="11.5"/>
    <row r="1228" ht="11.5"/>
    <row r="1229" ht="11.5"/>
    <row r="1230" ht="11.5"/>
    <row r="1231" ht="11.5"/>
    <row r="1232" ht="11.5"/>
    <row r="1233" ht="11.5"/>
    <row r="1234" ht="11.5"/>
    <row r="1235" ht="11.5"/>
    <row r="1236" ht="11.5"/>
    <row r="1237" ht="11.5"/>
    <row r="1238" ht="11.5"/>
    <row r="1239" ht="11.5"/>
    <row r="1240" ht="11.5"/>
    <row r="1241" ht="11.5"/>
    <row r="1242" ht="11.5"/>
    <row r="1243" ht="11.5"/>
    <row r="1244" ht="11.5"/>
    <row r="1245" ht="11.5"/>
    <row r="1246" ht="11.5"/>
    <row r="1247" ht="11.5"/>
    <row r="1248" ht="11.5"/>
    <row r="1249" ht="11.5"/>
    <row r="1250" ht="11.5"/>
    <row r="1251" ht="11.5"/>
    <row r="1252" ht="11.5"/>
    <row r="1253" ht="11.5"/>
    <row r="1254" ht="11.5"/>
    <row r="1255" ht="11.5"/>
    <row r="1256" ht="11.5"/>
    <row r="1257" ht="11.5"/>
    <row r="1258" ht="11.5"/>
    <row r="1259" ht="11.5"/>
    <row r="1260" ht="11.5"/>
    <row r="1261" ht="11.5"/>
    <row r="1262" ht="11.5"/>
    <row r="1263" ht="11.5"/>
    <row r="1264" ht="11.5"/>
    <row r="1265" ht="11.5"/>
    <row r="1266" ht="11.5"/>
    <row r="1267" ht="11.5"/>
    <row r="1268" ht="11.5"/>
    <row r="1269" ht="11.5"/>
    <row r="1270" ht="11.5"/>
    <row r="1271" ht="11.5"/>
    <row r="1272" ht="11.5"/>
    <row r="1273" ht="11.5"/>
    <row r="1274" ht="11.5"/>
    <row r="1275" ht="11.5"/>
    <row r="1276" ht="11.5"/>
    <row r="1277" ht="11.5"/>
    <row r="1278" ht="11.5"/>
    <row r="1279" ht="11.5"/>
    <row r="1280" ht="11.5"/>
    <row r="1281" ht="11.5"/>
    <row r="1282" ht="11.5"/>
    <row r="1283" ht="11.5"/>
    <row r="1284" ht="11.5"/>
    <row r="1285" ht="11.5"/>
    <row r="1286" ht="11.5"/>
    <row r="1287" ht="11.5"/>
    <row r="1288" ht="11.5"/>
    <row r="1289" ht="11.5"/>
    <row r="1290" ht="11.5"/>
    <row r="1291" ht="11.5"/>
    <row r="1292" ht="11.5"/>
    <row r="1293" ht="11.5"/>
    <row r="1294" ht="11.5"/>
    <row r="1295" ht="11.5"/>
    <row r="1296" ht="11.5"/>
    <row r="1297" ht="11.5"/>
    <row r="1298" ht="11.5"/>
    <row r="1299" ht="11.5"/>
    <row r="1300" ht="11.5"/>
    <row r="1301" ht="11.5"/>
    <row r="1302" ht="11.5"/>
    <row r="1303" ht="11.5"/>
    <row r="1304" ht="11.5"/>
    <row r="1305" ht="11.5"/>
    <row r="1306" ht="11.5"/>
    <row r="1307" ht="11.5"/>
    <row r="1308" ht="11.5"/>
    <row r="1309" ht="11.5"/>
    <row r="1310" ht="11.5"/>
    <row r="1311" ht="11.5"/>
    <row r="1312" ht="11.5"/>
    <row r="1313" ht="11.5"/>
    <row r="1314" ht="11.5"/>
    <row r="1315" ht="11.5"/>
    <row r="1316" ht="11.5"/>
    <row r="1317" ht="11.5"/>
    <row r="1318" ht="11.5"/>
    <row r="1319" ht="11.5"/>
    <row r="1320" ht="11.5"/>
    <row r="1321" ht="11.5"/>
    <row r="1322" ht="11.5"/>
    <row r="1323" ht="11.5"/>
    <row r="1324" ht="11.5"/>
    <row r="1325" ht="11.5"/>
    <row r="1326" ht="11.5"/>
    <row r="1327" ht="11.5"/>
    <row r="1328" ht="11.5"/>
    <row r="1329" ht="11.5"/>
    <row r="1330" ht="11.5"/>
    <row r="1331" ht="11.5"/>
    <row r="1332" ht="11.5"/>
    <row r="1333" ht="11.5"/>
    <row r="1334" ht="11.5"/>
    <row r="1335" ht="11.5"/>
    <row r="1336" ht="11.5"/>
    <row r="1337" ht="11.5"/>
    <row r="1338" ht="11.5"/>
    <row r="1339" ht="11.5"/>
    <row r="1340" ht="11.5"/>
    <row r="1341" ht="11.5"/>
    <row r="1342" ht="11.5"/>
    <row r="1343" ht="11.5"/>
    <row r="1344" ht="11.5"/>
    <row r="1345" ht="11.5"/>
    <row r="1346" ht="11.5"/>
  </sheetData>
  <sheetProtection sheet="1" objects="1" scenarios="1"/>
  <mergeCells count="10">
    <mergeCell ref="F1:L1"/>
    <mergeCell ref="F2:L2"/>
    <mergeCell ref="B2:C2"/>
    <mergeCell ref="C214:M214"/>
    <mergeCell ref="B14:B15"/>
    <mergeCell ref="C8:C9"/>
    <mergeCell ref="D4:D5"/>
    <mergeCell ref="F4:F5"/>
    <mergeCell ref="H4:H5"/>
    <mergeCell ref="J4:J5"/>
  </mergeCells>
  <phoneticPr fontId="41" type="noConversion"/>
  <conditionalFormatting sqref="D9">
    <cfRule type="colorScale" priority="237">
      <colorScale>
        <cfvo type="min"/>
        <cfvo type="percentile" val="50"/>
        <cfvo type="max"/>
        <color rgb="FFF8696B"/>
        <color rgb="FFFFEB84"/>
        <color rgb="FF63BE7B"/>
      </colorScale>
    </cfRule>
  </conditionalFormatting>
  <conditionalFormatting sqref="D11:D15 D18:D27 D30:D40 D43:D49 D52:D111 D115:D143 D146:D154 D157:D167 D170:D180 D183:D199">
    <cfRule type="cellIs" dxfId="165" priority="247" operator="equal">
      <formula>"Partial"</formula>
    </cfRule>
    <cfRule type="cellIs" dxfId="164" priority="246" operator="equal">
      <formula>"Not Assessed"</formula>
    </cfRule>
    <cfRule type="cellIs" dxfId="163" priority="248" operator="equal">
      <formula>"N"</formula>
    </cfRule>
    <cfRule type="cellIs" dxfId="162" priority="249" operator="equal">
      <formula>"Y"</formula>
    </cfRule>
  </conditionalFormatting>
  <conditionalFormatting sqref="D16">
    <cfRule type="cellIs" dxfId="161" priority="179" operator="equal">
      <formula>"Not relevant"</formula>
    </cfRule>
    <cfRule type="cellIs" dxfId="160" priority="180" operator="equal">
      <formula>"Not assessed"</formula>
    </cfRule>
    <cfRule type="colorScale" priority="181">
      <colorScale>
        <cfvo type="min"/>
        <cfvo type="percentile" val="50"/>
        <cfvo type="max"/>
        <color rgb="FFF8696B"/>
        <color rgb="FFFFEB84"/>
        <color rgb="FF63BE7B"/>
      </colorScale>
    </cfRule>
  </conditionalFormatting>
  <conditionalFormatting sqref="D28">
    <cfRule type="cellIs" dxfId="159" priority="185" operator="equal">
      <formula>"Not relevant"</formula>
    </cfRule>
    <cfRule type="cellIs" dxfId="158" priority="186" operator="equal">
      <formula>"Not assessed"</formula>
    </cfRule>
    <cfRule type="colorScale" priority="187">
      <colorScale>
        <cfvo type="min"/>
        <cfvo type="percentile" val="50"/>
        <cfvo type="max"/>
        <color rgb="FFF8696B"/>
        <color rgb="FFFFEB84"/>
        <color rgb="FF63BE7B"/>
      </colorScale>
    </cfRule>
  </conditionalFormatting>
  <conditionalFormatting sqref="D41">
    <cfRule type="cellIs" dxfId="157" priority="191" operator="equal">
      <formula>"Not relevant"</formula>
    </cfRule>
    <cfRule type="cellIs" dxfId="156" priority="192" operator="equal">
      <formula>"Not assessed"</formula>
    </cfRule>
    <cfRule type="colorScale" priority="193">
      <colorScale>
        <cfvo type="min"/>
        <cfvo type="percentile" val="50"/>
        <cfvo type="max"/>
        <color rgb="FFF8696B"/>
        <color rgb="FFFFEB84"/>
        <color rgb="FF63BE7B"/>
      </colorScale>
    </cfRule>
  </conditionalFormatting>
  <conditionalFormatting sqref="D50">
    <cfRule type="cellIs" dxfId="155" priority="197" operator="equal">
      <formula>"Not relevant"</formula>
    </cfRule>
    <cfRule type="colorScale" priority="199">
      <colorScale>
        <cfvo type="min"/>
        <cfvo type="percentile" val="50"/>
        <cfvo type="max"/>
        <color rgb="FFF8696B"/>
        <color rgb="FFFFEB84"/>
        <color rgb="FF63BE7B"/>
      </colorScale>
    </cfRule>
    <cfRule type="cellIs" dxfId="154" priority="198" operator="equal">
      <formula>"Not assessed"</formula>
    </cfRule>
  </conditionalFormatting>
  <conditionalFormatting sqref="D112:D114">
    <cfRule type="colorScale" priority="205">
      <colorScale>
        <cfvo type="min"/>
        <cfvo type="percentile" val="50"/>
        <cfvo type="max"/>
        <color rgb="FFF8696B"/>
        <color rgb="FFFFEB84"/>
        <color rgb="FF63BE7B"/>
      </colorScale>
    </cfRule>
    <cfRule type="cellIs" dxfId="153" priority="204" operator="equal">
      <formula>"Not assessed"</formula>
    </cfRule>
    <cfRule type="cellIs" dxfId="152" priority="203" operator="equal">
      <formula>"Not relevant"</formula>
    </cfRule>
  </conditionalFormatting>
  <conditionalFormatting sqref="D144">
    <cfRule type="colorScale" priority="211">
      <colorScale>
        <cfvo type="min"/>
        <cfvo type="percentile" val="50"/>
        <cfvo type="max"/>
        <color rgb="FFF8696B"/>
        <color rgb="FFFFEB84"/>
        <color rgb="FF63BE7B"/>
      </colorScale>
    </cfRule>
    <cfRule type="cellIs" dxfId="151" priority="210" operator="equal">
      <formula>"Not assessed"</formula>
    </cfRule>
    <cfRule type="cellIs" dxfId="150" priority="209" operator="equal">
      <formula>"Not relevant"</formula>
    </cfRule>
  </conditionalFormatting>
  <conditionalFormatting sqref="D155">
    <cfRule type="colorScale" priority="217">
      <colorScale>
        <cfvo type="min"/>
        <cfvo type="percentile" val="50"/>
        <cfvo type="max"/>
        <color rgb="FFF8696B"/>
        <color rgb="FFFFEB84"/>
        <color rgb="FF63BE7B"/>
      </colorScale>
    </cfRule>
    <cfRule type="cellIs" dxfId="149" priority="216" operator="equal">
      <formula>"Not assessed"</formula>
    </cfRule>
    <cfRule type="cellIs" dxfId="148" priority="215" operator="equal">
      <formula>"Not relevant"</formula>
    </cfRule>
  </conditionalFormatting>
  <conditionalFormatting sqref="D168">
    <cfRule type="colorScale" priority="223">
      <colorScale>
        <cfvo type="min"/>
        <cfvo type="percentile" val="50"/>
        <cfvo type="max"/>
        <color rgb="FFF8696B"/>
        <color rgb="FFFFEB84"/>
        <color rgb="FF63BE7B"/>
      </colorScale>
    </cfRule>
    <cfRule type="cellIs" dxfId="147" priority="222" operator="equal">
      <formula>"Not assessed"</formula>
    </cfRule>
    <cfRule type="cellIs" dxfId="146" priority="221" operator="equal">
      <formula>"Not relevant"</formula>
    </cfRule>
  </conditionalFormatting>
  <conditionalFormatting sqref="D170:D181 D183:D200 D157:D168 D146:D155 D52:D144 D43:D50 D30:D41 D18:D28 D11:D16">
    <cfRule type="cellIs" dxfId="145" priority="236" operator="equal">
      <formula>"Not applicable"</formula>
    </cfRule>
  </conditionalFormatting>
  <conditionalFormatting sqref="D181">
    <cfRule type="cellIs" dxfId="144" priority="234" operator="equal">
      <formula>"Not assessed"</formula>
    </cfRule>
    <cfRule type="colorScale" priority="235">
      <colorScale>
        <cfvo type="min"/>
        <cfvo type="percentile" val="50"/>
        <cfvo type="max"/>
        <color rgb="FFF8696B"/>
        <color rgb="FFFFEB84"/>
        <color rgb="FF63BE7B"/>
      </colorScale>
    </cfRule>
    <cfRule type="cellIs" dxfId="143" priority="233" operator="equal">
      <formula>"Not relevant"</formula>
    </cfRule>
  </conditionalFormatting>
  <conditionalFormatting sqref="D200">
    <cfRule type="cellIs" dxfId="142" priority="227" operator="equal">
      <formula>"Not relevant"</formula>
    </cfRule>
    <cfRule type="cellIs" dxfId="141" priority="228" operator="equal">
      <formula>"Not assessed"</formula>
    </cfRule>
    <cfRule type="colorScale" priority="229">
      <colorScale>
        <cfvo type="min"/>
        <cfvo type="percentile" val="50"/>
        <cfvo type="max"/>
        <color rgb="FFF8696B"/>
        <color rgb="FFFFEB84"/>
        <color rgb="FF63BE7B"/>
      </colorScale>
    </cfRule>
  </conditionalFormatting>
  <conditionalFormatting sqref="E202:E211">
    <cfRule type="cellIs" dxfId="140" priority="162" operator="equal">
      <formula>"Y"</formula>
    </cfRule>
    <cfRule type="cellIs" dxfId="139" priority="161" operator="equal">
      <formula>"N"</formula>
    </cfRule>
    <cfRule type="cellIs" dxfId="138" priority="160" operator="equal">
      <formula>"Partial"</formula>
    </cfRule>
    <cfRule type="cellIs" dxfId="137" priority="159" operator="equal">
      <formula>"Not Assessed"</formula>
    </cfRule>
  </conditionalFormatting>
  <conditionalFormatting sqref="E202:E212">
    <cfRule type="cellIs" dxfId="136" priority="158" operator="equal">
      <formula>"Not applicable"</formula>
    </cfRule>
  </conditionalFormatting>
  <conditionalFormatting sqref="E212">
    <cfRule type="colorScale" priority="156">
      <colorScale>
        <cfvo type="min"/>
        <cfvo type="percentile" val="50"/>
        <cfvo type="max"/>
        <color rgb="FFF8696B"/>
        <color rgb="FFFFEB84"/>
        <color rgb="FF63BE7B"/>
      </colorScale>
    </cfRule>
    <cfRule type="cellIs" dxfId="135" priority="155" operator="equal">
      <formula>"Not assessed"</formula>
    </cfRule>
    <cfRule type="cellIs" dxfId="134" priority="154" operator="equal">
      <formula>"Not relevant"</formula>
    </cfRule>
  </conditionalFormatting>
  <conditionalFormatting sqref="F7 H7 J7 F11 H11 J11 F13:F15 H13:H15 J13:J15 F18 H18 J18 F20:F27 H20:H27 J20:J27 F30 H30 J30 F32:F40 H32:H40 J32:J40 F43 H43 J43 F45:F49 H45:H49 J45:J49 F52 H52 J52 F54:F111 H54:H111 J54:J111 F115 H115 J115 F117:F143 H117:H143 J117:J143 F146 H146 J146 F148:F154 H148:H154 J148:J154 F157 H157 J157 F159:F167 H159:H167 J159:J167 F170 H170 J170 F172:F180 H172:H180 J172:J180 F183 H183 J183 F185:F199 H185:H199 J185:J199 F202 H202 J202 F204:F211 H204:H211 J204:J211">
    <cfRule type="cellIs" dxfId="133" priority="7" operator="between">
      <formula>0.8</formula>
      <formula>0.99999</formula>
    </cfRule>
    <cfRule type="cellIs" dxfId="132" priority="6" operator="between">
      <formula>0.6</formula>
      <formula>0.79999</formula>
    </cfRule>
    <cfRule type="cellIs" dxfId="131" priority="5" operator="between">
      <formula>0.4</formula>
      <formula>0.5999999</formula>
    </cfRule>
    <cfRule type="cellIs" dxfId="130" priority="4" operator="between">
      <formula>0.2</formula>
      <formula>0.399999</formula>
    </cfRule>
  </conditionalFormatting>
  <conditionalFormatting sqref="F11 H11 J11 F13:F15 H13:H15 J13:J15 F18 H18 J18 F20:F27 H20:H27 J20:J27 F30 H30 J30 F32:F40 H32:H40 J32:J40 F43 H43 J43 F45:F49 H45:H49 J45:J49 F52 H52 J52 F54:F111 H54:H111 J54:J111 F115 H115 J115 F117:F143 H117:H143 J117:J143 F146 H146 J146 F148:F154 H148:H154 J148:J154 F157 H157 J157 F159:F167 H159:H167 J159:J167 F170 H170 J170 F172:F180 H172:H180 J172:J180 F183 H183 J183 F185:F199 H185:H199 J185:J199 F202 H202 J202 F204:F211 H204:H211 J204:J211 F7 H7 J7">
    <cfRule type="cellIs" dxfId="129" priority="8" operator="equal">
      <formula>1</formula>
    </cfRule>
    <cfRule type="cellIs" dxfId="128" priority="3" operator="between">
      <formula>0</formula>
      <formula>0.19999</formula>
    </cfRule>
  </conditionalFormatting>
  <conditionalFormatting sqref="F11 H11 J11 F13:F15 H13:H15 J13:J15 F18 H18 J18 F20:F27 H20:H27 J20:J27 F30 H30 J30 F32:F40 H32:H40 J32:J40 F43 H43 J43 F45:F49 H45:H49 J45:J49 F52 H52 J52 F54:F111 H54:H111 J54:J111 F115 H115 J115 F117:F143 H117:H143 J117:J143 F146 H146 J146 F148:F154 H148:H154 J148:J154 F157 H157 J157 F159:F167 H159:H167 J159:J167 F170 H170 J170 F172:F180 H172:H180 J172:J180 F183 H183 J183 F185:F199 H185:H199 J185:J199 F202 H202 J202 F204:F211 H204:H211 J204:J211">
    <cfRule type="containsBlanks" dxfId="127" priority="1">
      <formula>LEN(TRIM(F11))=0</formula>
    </cfRule>
  </conditionalFormatting>
  <conditionalFormatting sqref="F11:J11 F13:J18 F20:J30 F32:J43 F45:J52 F54:J115 F117:J146 F148:J157 F159:J170 F172:J183 F185:J202 F204:J211">
    <cfRule type="cellIs" dxfId="126" priority="16" operator="equal">
      <formula>"Under development"</formula>
    </cfRule>
    <cfRule type="cellIs" dxfId="125" priority="15" operator="equal">
      <formula>"Not applicable"</formula>
    </cfRule>
  </conditionalFormatting>
  <conditionalFormatting sqref="G212:K212 M212">
    <cfRule type="colorScale" priority="273">
      <colorScale>
        <cfvo type="min"/>
        <cfvo type="percentile" val="50"/>
        <cfvo type="max"/>
        <color rgb="FFF8696B"/>
        <color rgb="FFFFEB84"/>
        <color rgb="FF63BE7B"/>
      </colorScale>
    </cfRule>
  </conditionalFormatting>
  <conditionalFormatting sqref="M16">
    <cfRule type="cellIs" dxfId="124" priority="10" operator="equal">
      <formula>"Under development"</formula>
    </cfRule>
    <cfRule type="cellIs" dxfId="123" priority="13" operator="equal">
      <formula>"Not applicable"</formula>
    </cfRule>
  </conditionalFormatting>
  <dataValidations count="1">
    <dataValidation type="list" allowBlank="1" showInputMessage="1" showErrorMessage="1" sqref="C5" xr:uid="{B36D8986-9010-4F62-B06B-FDB3EF204241}">
      <formula1>"BP, Chevron, ConocoPhillips, Eni, Exxon, Oxy, Repsol, Shell, Suncor, TotalEnergies"</formula1>
    </dataValidation>
  </dataValidations>
  <pageMargins left="0.25" right="0.25" top="0.75" bottom="0.75" header="0.3" footer="0.3"/>
  <pageSetup paperSize="9" scale="52"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2F8A0-F839-4EE4-86BA-A95DC6D80ADE}">
  <sheetPr>
    <tabColor rgb="FF00B0F0"/>
  </sheetPr>
  <dimension ref="A1:DD227"/>
  <sheetViews>
    <sheetView zoomScale="70" zoomScaleNormal="70" workbookViewId="0">
      <pane xSplit="3" ySplit="4" topLeftCell="D5" activePane="bottomRight" state="frozen"/>
      <selection pane="topRight" activeCell="D1" sqref="D1"/>
      <selection pane="bottomLeft" activeCell="A4" sqref="A4"/>
      <selection pane="bottomRight" activeCell="B4" sqref="B4"/>
    </sheetView>
  </sheetViews>
  <sheetFormatPr defaultColWidth="0" defaultRowHeight="14.5" customHeight="1" zeroHeight="1" outlineLevelRow="2" outlineLevelCol="1"/>
  <cols>
    <col min="1" max="1" width="7" style="219" customWidth="1"/>
    <col min="2" max="2" width="114.1796875" style="65" customWidth="1"/>
    <col min="3" max="3" width="15.54296875" style="65" hidden="1" customWidth="1"/>
    <col min="4" max="13" width="23" style="65" customWidth="1" outlineLevel="1"/>
    <col min="14" max="14" width="4.1796875" style="1" customWidth="1"/>
    <col min="15" max="24" width="13.81640625" style="65" hidden="1" customWidth="1" outlineLevel="1"/>
    <col min="25" max="25" width="4.1796875" style="1" hidden="1" customWidth="1" collapsed="1"/>
    <col min="26" max="35" width="13.81640625" style="65" hidden="1" customWidth="1" outlineLevel="1"/>
    <col min="36" max="36" width="4.1796875" style="1" hidden="1" customWidth="1" collapsed="1"/>
    <col min="37" max="37" width="3.81640625" style="130" hidden="1" customWidth="1"/>
    <col min="38" max="41" width="8.7265625" style="130" hidden="1" customWidth="1"/>
    <col min="42" max="42" width="8.7265625" style="65" hidden="1" customWidth="1"/>
    <col min="43" max="108" width="0" style="65" hidden="1" customWidth="1"/>
    <col min="109" max="16384" width="0" style="65" hidden="1"/>
  </cols>
  <sheetData>
    <row r="1" spans="1:108" s="50" customFormat="1" ht="76" customHeight="1">
      <c r="A1" s="219"/>
      <c r="B1" s="220"/>
      <c r="C1" s="65"/>
      <c r="D1" s="49"/>
      <c r="E1" s="380"/>
      <c r="F1" s="381"/>
      <c r="G1" s="381"/>
      <c r="H1" s="381"/>
      <c r="I1" s="381"/>
      <c r="J1" s="381"/>
      <c r="K1" s="381"/>
      <c r="L1" s="381"/>
      <c r="M1" s="381"/>
      <c r="N1" s="1"/>
      <c r="O1" s="49"/>
      <c r="P1" s="49"/>
      <c r="Q1" s="49"/>
      <c r="R1" s="49"/>
      <c r="S1" s="49"/>
      <c r="T1" s="49"/>
      <c r="U1" s="49"/>
      <c r="V1" s="49"/>
      <c r="W1" s="49"/>
      <c r="X1" s="49"/>
      <c r="Y1" s="1"/>
      <c r="Z1" s="49"/>
      <c r="AA1" s="49"/>
      <c r="AB1" s="65"/>
      <c r="AC1" s="65"/>
      <c r="AD1" s="65"/>
      <c r="AE1" s="384"/>
      <c r="AF1" s="384"/>
      <c r="AG1" s="384"/>
      <c r="AH1" s="384"/>
      <c r="AI1" s="384"/>
      <c r="AJ1" s="1"/>
      <c r="AK1" s="49"/>
      <c r="AL1" s="49"/>
      <c r="AM1" s="49"/>
      <c r="AN1" s="49"/>
      <c r="AO1" s="49"/>
    </row>
    <row r="2" spans="1:108" s="50" customFormat="1" ht="18" customHeight="1">
      <c r="A2" s="219"/>
      <c r="B2" s="220"/>
      <c r="C2" s="65"/>
      <c r="D2" s="49"/>
      <c r="E2" s="249"/>
      <c r="F2" s="249"/>
      <c r="G2" s="249"/>
      <c r="H2" s="249"/>
      <c r="I2" s="249"/>
      <c r="J2" s="249"/>
      <c r="K2" s="249"/>
      <c r="L2" s="249"/>
      <c r="M2" s="249"/>
      <c r="N2" s="1"/>
      <c r="O2" s="49"/>
      <c r="P2" s="49"/>
      <c r="Q2" s="49"/>
      <c r="R2" s="49"/>
      <c r="S2" s="49"/>
      <c r="T2" s="49"/>
      <c r="U2" s="49"/>
      <c r="V2" s="49"/>
      <c r="W2" s="49"/>
      <c r="X2" s="49"/>
      <c r="Y2" s="1"/>
      <c r="Z2" s="49"/>
      <c r="AA2" s="49"/>
      <c r="AB2" s="65"/>
      <c r="AC2" s="65"/>
      <c r="AD2" s="65"/>
      <c r="AE2" s="271"/>
      <c r="AF2" s="271"/>
      <c r="AG2" s="271"/>
      <c r="AH2" s="271"/>
      <c r="AI2" s="271"/>
      <c r="AJ2" s="1"/>
      <c r="AK2" s="49"/>
      <c r="AL2" s="49"/>
      <c r="AM2" s="49"/>
      <c r="AN2" s="49"/>
      <c r="AO2" s="49"/>
    </row>
    <row r="3" spans="1:108" s="50" customFormat="1" ht="31.5" customHeight="1" thickBot="1">
      <c r="A3" s="219"/>
      <c r="B3" s="339" t="s">
        <v>260</v>
      </c>
      <c r="C3" s="304"/>
      <c r="D3" s="374" t="s">
        <v>47</v>
      </c>
      <c r="E3" s="374" t="s">
        <v>49</v>
      </c>
      <c r="F3" s="374" t="s">
        <v>51</v>
      </c>
      <c r="G3" s="374" t="s">
        <v>52</v>
      </c>
      <c r="H3" s="374" t="s">
        <v>53</v>
      </c>
      <c r="I3" s="374" t="s">
        <v>54</v>
      </c>
      <c r="J3" s="374" t="s">
        <v>55</v>
      </c>
      <c r="K3" s="374" t="s">
        <v>56</v>
      </c>
      <c r="L3" s="374" t="s">
        <v>57</v>
      </c>
      <c r="M3" s="374" t="s">
        <v>58</v>
      </c>
      <c r="N3" s="1"/>
      <c r="O3" s="382" t="s">
        <v>45</v>
      </c>
      <c r="P3" s="382"/>
      <c r="Q3" s="382"/>
      <c r="R3" s="382"/>
      <c r="S3" s="382"/>
      <c r="T3" s="382"/>
      <c r="U3" s="382"/>
      <c r="V3" s="382"/>
      <c r="W3" s="382"/>
      <c r="X3" s="383"/>
      <c r="Y3" s="1"/>
      <c r="Z3" s="382" t="s">
        <v>46</v>
      </c>
      <c r="AA3" s="382"/>
      <c r="AB3" s="382"/>
      <c r="AC3" s="382"/>
      <c r="AD3" s="382"/>
      <c r="AE3" s="382"/>
      <c r="AF3" s="382"/>
      <c r="AG3" s="382"/>
      <c r="AH3" s="382"/>
      <c r="AI3" s="383"/>
      <c r="AJ3" s="1"/>
      <c r="AK3" s="49"/>
      <c r="AL3" s="49"/>
      <c r="AM3" s="49"/>
      <c r="AN3" s="49"/>
      <c r="AO3" s="49"/>
    </row>
    <row r="4" spans="1:108" s="50" customFormat="1" ht="105.65" customHeight="1" thickBot="1">
      <c r="A4" s="219"/>
      <c r="B4" s="340" t="s">
        <v>44</v>
      </c>
      <c r="C4" s="304"/>
      <c r="D4" s="375"/>
      <c r="E4" s="375"/>
      <c r="F4" s="375"/>
      <c r="G4" s="375"/>
      <c r="H4" s="375"/>
      <c r="I4" s="375"/>
      <c r="J4" s="375"/>
      <c r="K4" s="375"/>
      <c r="L4" s="375"/>
      <c r="M4" s="375"/>
      <c r="N4" s="176"/>
      <c r="O4" s="177" t="s">
        <v>47</v>
      </c>
      <c r="P4" s="174" t="s">
        <v>49</v>
      </c>
      <c r="Q4" s="174" t="s">
        <v>51</v>
      </c>
      <c r="R4" s="174" t="s">
        <v>52</v>
      </c>
      <c r="S4" s="174" t="s">
        <v>53</v>
      </c>
      <c r="T4" s="174" t="s">
        <v>54</v>
      </c>
      <c r="U4" s="174" t="s">
        <v>55</v>
      </c>
      <c r="V4" s="174" t="s">
        <v>56</v>
      </c>
      <c r="W4" s="174" t="s">
        <v>57</v>
      </c>
      <c r="X4" s="175" t="s">
        <v>58</v>
      </c>
      <c r="Y4" s="176"/>
      <c r="Z4" s="177" t="s">
        <v>47</v>
      </c>
      <c r="AA4" s="174" t="s">
        <v>49</v>
      </c>
      <c r="AB4" s="174" t="s">
        <v>51</v>
      </c>
      <c r="AC4" s="174" t="s">
        <v>52</v>
      </c>
      <c r="AD4" s="174" t="s">
        <v>53</v>
      </c>
      <c r="AE4" s="174" t="s">
        <v>54</v>
      </c>
      <c r="AF4" s="174" t="s">
        <v>55</v>
      </c>
      <c r="AG4" s="174" t="s">
        <v>56</v>
      </c>
      <c r="AH4" s="174" t="s">
        <v>57</v>
      </c>
      <c r="AI4" s="174" t="s">
        <v>58</v>
      </c>
      <c r="AJ4" s="1"/>
      <c r="AK4" s="49"/>
      <c r="AL4" s="49"/>
      <c r="AM4" s="49"/>
      <c r="AN4" s="49"/>
      <c r="AO4" s="49"/>
    </row>
    <row r="5" spans="1:108" s="50" customFormat="1" ht="15" thickBot="1">
      <c r="A5" s="219"/>
      <c r="B5" s="221" t="s">
        <v>261</v>
      </c>
      <c r="C5" s="222"/>
      <c r="D5" s="81" t="s">
        <v>48</v>
      </c>
      <c r="E5" s="81" t="s">
        <v>50</v>
      </c>
      <c r="F5" s="81" t="s">
        <v>50</v>
      </c>
      <c r="G5" s="81" t="s">
        <v>48</v>
      </c>
      <c r="H5" s="81" t="s">
        <v>50</v>
      </c>
      <c r="I5" s="81" t="s">
        <v>50</v>
      </c>
      <c r="J5" s="81" t="s">
        <v>48</v>
      </c>
      <c r="K5" s="81" t="s">
        <v>48</v>
      </c>
      <c r="L5" s="81" t="s">
        <v>50</v>
      </c>
      <c r="M5" s="82" t="s">
        <v>48</v>
      </c>
      <c r="N5" s="1"/>
      <c r="O5" s="110" t="s">
        <v>262</v>
      </c>
      <c r="P5" s="81" t="s">
        <v>263</v>
      </c>
      <c r="Q5" s="81" t="s">
        <v>263</v>
      </c>
      <c r="R5" s="81" t="s">
        <v>262</v>
      </c>
      <c r="S5" s="81" t="s">
        <v>263</v>
      </c>
      <c r="T5" s="81" t="s">
        <v>263</v>
      </c>
      <c r="U5" s="81" t="s">
        <v>262</v>
      </c>
      <c r="V5" s="81" t="s">
        <v>262</v>
      </c>
      <c r="W5" s="81" t="s">
        <v>263</v>
      </c>
      <c r="X5" s="82" t="s">
        <v>262</v>
      </c>
      <c r="Y5" s="1"/>
      <c r="Z5" s="110" t="s">
        <v>262</v>
      </c>
      <c r="AA5" s="81" t="s">
        <v>263</v>
      </c>
      <c r="AB5" s="81" t="s">
        <v>263</v>
      </c>
      <c r="AC5" s="81" t="s">
        <v>262</v>
      </c>
      <c r="AD5" s="81" t="s">
        <v>263</v>
      </c>
      <c r="AE5" s="81" t="s">
        <v>263</v>
      </c>
      <c r="AF5" s="81" t="s">
        <v>262</v>
      </c>
      <c r="AG5" s="81" t="s">
        <v>262</v>
      </c>
      <c r="AH5" s="81" t="s">
        <v>263</v>
      </c>
      <c r="AI5" s="82" t="s">
        <v>262</v>
      </c>
      <c r="AJ5" s="1"/>
      <c r="AK5" s="49"/>
      <c r="AL5" s="49"/>
      <c r="AM5" s="49"/>
      <c r="AN5" s="49"/>
      <c r="AO5" s="49"/>
    </row>
    <row r="6" spans="1:108" s="50" customFormat="1" ht="15" thickBot="1">
      <c r="A6" s="219"/>
      <c r="B6" s="65"/>
      <c r="C6" s="65"/>
      <c r="D6" s="49"/>
      <c r="E6" s="49"/>
      <c r="F6" s="49"/>
      <c r="G6" s="49"/>
      <c r="H6" s="49"/>
      <c r="I6" s="49"/>
      <c r="J6" s="49"/>
      <c r="K6" s="49"/>
      <c r="L6" s="49"/>
      <c r="M6" s="78"/>
      <c r="N6" s="1"/>
      <c r="O6" s="64"/>
      <c r="P6" s="49"/>
      <c r="Q6" s="49"/>
      <c r="R6" s="49"/>
      <c r="S6" s="49"/>
      <c r="T6" s="49"/>
      <c r="U6" s="49"/>
      <c r="V6" s="49"/>
      <c r="W6" s="49"/>
      <c r="X6" s="83"/>
      <c r="Y6" s="1"/>
      <c r="Z6" s="64"/>
      <c r="AA6" s="49"/>
      <c r="AB6" s="49"/>
      <c r="AC6" s="49"/>
      <c r="AD6" s="49"/>
      <c r="AE6" s="49"/>
      <c r="AF6" s="49"/>
      <c r="AG6" s="49"/>
      <c r="AH6" s="49"/>
      <c r="AI6" s="49"/>
      <c r="AJ6" s="1"/>
      <c r="AK6" s="49"/>
      <c r="AL6" s="49"/>
      <c r="AM6" s="49"/>
      <c r="AN6" s="49"/>
      <c r="AO6" s="49"/>
    </row>
    <row r="7" spans="1:108" s="51" customFormat="1" ht="15" thickBot="1">
      <c r="A7" s="219"/>
      <c r="B7" s="221" t="s">
        <v>264</v>
      </c>
      <c r="C7" s="223"/>
      <c r="D7" s="305">
        <f t="shared" ref="D7:M7" si="0">IF($B$4="Climate Solutions",(AVERAGE(D50,D112)),IF($B$4="Alignment",(AVERAGE(D17,D29,D41,D50,D112,D198)),(AVERAGE(D10,D17,D29,D41,D50,D112,D143,D154,D167,D179,D198))))</f>
        <v>0.70736111111111111</v>
      </c>
      <c r="E7" s="305">
        <f t="shared" si="0"/>
        <v>0.31222222222222218</v>
      </c>
      <c r="F7" s="305">
        <f t="shared" si="0"/>
        <v>0.31944444444444436</v>
      </c>
      <c r="G7" s="305">
        <f t="shared" si="0"/>
        <v>0.66534090909090904</v>
      </c>
      <c r="H7" s="305">
        <f t="shared" si="0"/>
        <v>0.34027777777777779</v>
      </c>
      <c r="I7" s="305">
        <f t="shared" si="0"/>
        <v>0.39358974358974363</v>
      </c>
      <c r="J7" s="305">
        <f t="shared" si="0"/>
        <v>0.5775961538461537</v>
      </c>
      <c r="K7" s="305">
        <f t="shared" si="0"/>
        <v>0.57796717171717171</v>
      </c>
      <c r="L7" s="305">
        <f t="shared" si="0"/>
        <v>0.19583333333333333</v>
      </c>
      <c r="M7" s="306">
        <f t="shared" si="0"/>
        <v>0.70546085858585861</v>
      </c>
      <c r="N7" s="1"/>
      <c r="O7" s="111" t="e">
        <f t="shared" ref="O7:X7" si="1">SUM(O10,O17,O29,O41,O50,O112,O143,O154,O167,O179)/COUNT(O10,O17,O29,O41,O50,O112,O143,O154,O167,O179)</f>
        <v>#REF!</v>
      </c>
      <c r="P7" s="79" t="e">
        <f t="shared" si="1"/>
        <v>#REF!</v>
      </c>
      <c r="Q7" s="79" t="e">
        <f t="shared" si="1"/>
        <v>#REF!</v>
      </c>
      <c r="R7" s="79" t="e">
        <f t="shared" si="1"/>
        <v>#REF!</v>
      </c>
      <c r="S7" s="79" t="e">
        <f t="shared" si="1"/>
        <v>#REF!</v>
      </c>
      <c r="T7" s="79" t="e">
        <f t="shared" si="1"/>
        <v>#REF!</v>
      </c>
      <c r="U7" s="79" t="e">
        <f t="shared" si="1"/>
        <v>#REF!</v>
      </c>
      <c r="V7" s="79" t="e">
        <f t="shared" si="1"/>
        <v>#REF!</v>
      </c>
      <c r="W7" s="79" t="e">
        <f t="shared" si="1"/>
        <v>#REF!</v>
      </c>
      <c r="X7" s="80" t="e">
        <f t="shared" si="1"/>
        <v>#REF!</v>
      </c>
      <c r="Y7" s="1"/>
      <c r="Z7" s="111" t="e">
        <f t="shared" ref="Z7:AI7" si="2">SUM(Z10,Z17,Z29,Z41,Z50,Z112,Z143,Z154,Z167,Z179)/COUNT(Z10,Z17,Z29,Z41,Z50,Z112,Z143,Z154,Z167,Z179)</f>
        <v>#DIV/0!</v>
      </c>
      <c r="AA7" s="79" t="e">
        <f t="shared" si="2"/>
        <v>#DIV/0!</v>
      </c>
      <c r="AB7" s="79" t="e">
        <f t="shared" si="2"/>
        <v>#DIV/0!</v>
      </c>
      <c r="AC7" s="79" t="e">
        <f t="shared" si="2"/>
        <v>#DIV/0!</v>
      </c>
      <c r="AD7" s="79" t="e">
        <f t="shared" si="2"/>
        <v>#DIV/0!</v>
      </c>
      <c r="AE7" s="79" t="e">
        <f t="shared" si="2"/>
        <v>#DIV/0!</v>
      </c>
      <c r="AF7" s="79" t="e">
        <f t="shared" si="2"/>
        <v>#DIV/0!</v>
      </c>
      <c r="AG7" s="79" t="e">
        <f t="shared" si="2"/>
        <v>#DIV/0!</v>
      </c>
      <c r="AH7" s="79" t="e">
        <f t="shared" si="2"/>
        <v>#DIV/0!</v>
      </c>
      <c r="AI7" s="80" t="e">
        <f t="shared" si="2"/>
        <v>#DIV/0!</v>
      </c>
      <c r="AJ7" s="1"/>
      <c r="AK7" s="49"/>
      <c r="AL7" s="49"/>
      <c r="AM7" s="49"/>
      <c r="AN7" s="49"/>
      <c r="AO7" s="49"/>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row>
    <row r="8" spans="1:108" s="50" customFormat="1" ht="24.65" customHeight="1" thickBot="1">
      <c r="A8" s="219"/>
      <c r="B8" s="65"/>
      <c r="C8" s="65"/>
      <c r="D8" s="65"/>
      <c r="E8" s="65"/>
      <c r="F8" s="65"/>
      <c r="G8" s="65"/>
      <c r="H8" s="65"/>
      <c r="I8" s="65"/>
      <c r="J8" s="65"/>
      <c r="K8" s="65"/>
      <c r="L8" s="65"/>
      <c r="M8" s="65"/>
      <c r="N8" s="1"/>
      <c r="O8" s="112"/>
      <c r="P8" s="49"/>
      <c r="Q8" s="49"/>
      <c r="R8" s="49"/>
      <c r="S8" s="49"/>
      <c r="T8" s="49"/>
      <c r="U8" s="49"/>
      <c r="V8" s="49"/>
      <c r="W8" s="49"/>
      <c r="X8" s="84"/>
      <c r="Y8" s="1"/>
      <c r="Z8" s="112"/>
      <c r="AA8" s="49"/>
      <c r="AB8" s="49"/>
      <c r="AC8" s="49"/>
      <c r="AD8" s="49"/>
      <c r="AE8" s="49"/>
      <c r="AF8" s="49"/>
      <c r="AG8" s="49"/>
      <c r="AH8" s="49"/>
      <c r="AI8" s="49"/>
      <c r="AJ8" s="1"/>
      <c r="AK8" s="49"/>
      <c r="AL8" s="49"/>
      <c r="AM8" s="49"/>
      <c r="AN8" s="49"/>
      <c r="AO8" s="49"/>
    </row>
    <row r="9" spans="1:108" s="50" customFormat="1" ht="18.649999999999999" customHeight="1">
      <c r="A9" s="301"/>
      <c r="B9" s="224"/>
      <c r="C9" s="225"/>
      <c r="D9" s="52"/>
      <c r="E9" s="53"/>
      <c r="F9" s="53"/>
      <c r="G9" s="53"/>
      <c r="H9" s="53"/>
      <c r="I9" s="53"/>
      <c r="J9" s="53"/>
      <c r="K9" s="53"/>
      <c r="L9" s="53"/>
      <c r="M9" s="54"/>
      <c r="N9" s="1"/>
      <c r="O9" s="52"/>
      <c r="P9" s="53"/>
      <c r="Q9" s="53"/>
      <c r="R9" s="53"/>
      <c r="S9" s="53"/>
      <c r="T9" s="53"/>
      <c r="U9" s="53"/>
      <c r="V9" s="53"/>
      <c r="W9" s="53"/>
      <c r="X9" s="54"/>
      <c r="Y9" s="1"/>
      <c r="Z9" s="52"/>
      <c r="AA9" s="53"/>
      <c r="AB9" s="53"/>
      <c r="AC9" s="53"/>
      <c r="AD9" s="53"/>
      <c r="AE9" s="53"/>
      <c r="AF9" s="53"/>
      <c r="AG9" s="53"/>
      <c r="AH9" s="53"/>
      <c r="AI9" s="54"/>
      <c r="AJ9" s="1"/>
      <c r="AK9" s="49"/>
      <c r="AL9" s="49"/>
      <c r="AM9" s="49"/>
      <c r="AN9" s="49"/>
      <c r="AO9" s="49"/>
    </row>
    <row r="10" spans="1:108" s="50" customFormat="1" ht="20.149999999999999" customHeight="1">
      <c r="A10" s="302">
        <v>1</v>
      </c>
      <c r="B10" s="376" t="s">
        <v>265</v>
      </c>
      <c r="C10" s="377"/>
      <c r="D10" s="307">
        <f t="shared" ref="D10:L10" si="3">IF($B$4="Disclosure",D11,"")</f>
        <v>1</v>
      </c>
      <c r="E10" s="308">
        <f t="shared" si="3"/>
        <v>0</v>
      </c>
      <c r="F10" s="308">
        <f t="shared" si="3"/>
        <v>0.5</v>
      </c>
      <c r="G10" s="308">
        <f t="shared" si="3"/>
        <v>1</v>
      </c>
      <c r="H10" s="308">
        <f t="shared" si="3"/>
        <v>0.5</v>
      </c>
      <c r="I10" s="308">
        <f t="shared" si="3"/>
        <v>1</v>
      </c>
      <c r="J10" s="308">
        <f t="shared" si="3"/>
        <v>0.5</v>
      </c>
      <c r="K10" s="308">
        <f t="shared" si="3"/>
        <v>1</v>
      </c>
      <c r="L10" s="308">
        <f t="shared" si="3"/>
        <v>0.5</v>
      </c>
      <c r="M10" s="309">
        <f>IF($B$4="Disclosure",M11,"")</f>
        <v>1</v>
      </c>
      <c r="N10" s="1"/>
      <c r="O10" s="55"/>
      <c r="P10" s="56"/>
      <c r="Q10" s="56"/>
      <c r="R10" s="56"/>
      <c r="S10" s="56"/>
      <c r="T10" s="56"/>
      <c r="U10" s="56"/>
      <c r="V10" s="56"/>
      <c r="W10" s="56"/>
      <c r="X10" s="57"/>
      <c r="Y10" s="1"/>
      <c r="Z10" s="55"/>
      <c r="AA10" s="56"/>
      <c r="AB10" s="56"/>
      <c r="AC10" s="56"/>
      <c r="AD10" s="56"/>
      <c r="AE10" s="56"/>
      <c r="AF10" s="56"/>
      <c r="AG10" s="56"/>
      <c r="AH10" s="56"/>
      <c r="AI10" s="57"/>
      <c r="AJ10" s="1"/>
      <c r="AK10" s="49"/>
      <c r="AL10" s="49"/>
      <c r="AM10" s="49"/>
      <c r="AN10" s="49"/>
      <c r="AO10" s="49"/>
    </row>
    <row r="11" spans="1:108" s="50" customFormat="1" ht="20.149999999999999" customHeight="1" outlineLevel="1">
      <c r="A11" s="302">
        <v>1.1000000000000001</v>
      </c>
      <c r="B11" s="226" t="s">
        <v>65</v>
      </c>
      <c r="C11" s="227"/>
      <c r="D11" s="310">
        <f t="shared" ref="D11:M11" si="4">IF($B$4="Disclosure",(SUM(D12:D13)/COUNT(D12:D13)),"")</f>
        <v>1</v>
      </c>
      <c r="E11" s="311">
        <f t="shared" si="4"/>
        <v>0</v>
      </c>
      <c r="F11" s="311">
        <f t="shared" si="4"/>
        <v>0.5</v>
      </c>
      <c r="G11" s="311">
        <f t="shared" si="4"/>
        <v>1</v>
      </c>
      <c r="H11" s="311">
        <f t="shared" si="4"/>
        <v>0.5</v>
      </c>
      <c r="I11" s="311">
        <f t="shared" si="4"/>
        <v>1</v>
      </c>
      <c r="J11" s="311">
        <f t="shared" si="4"/>
        <v>0.5</v>
      </c>
      <c r="K11" s="311">
        <f t="shared" si="4"/>
        <v>1</v>
      </c>
      <c r="L11" s="311">
        <f t="shared" si="4"/>
        <v>0.5</v>
      </c>
      <c r="M11" s="312">
        <f t="shared" si="4"/>
        <v>1</v>
      </c>
      <c r="N11" s="1"/>
      <c r="O11" s="55"/>
      <c r="P11" s="56"/>
      <c r="Q11" s="56"/>
      <c r="R11" s="56"/>
      <c r="S11" s="56"/>
      <c r="T11" s="56"/>
      <c r="U11" s="56"/>
      <c r="V11" s="56"/>
      <c r="W11" s="56"/>
      <c r="X11" s="57"/>
      <c r="Y11" s="1"/>
      <c r="Z11" s="55"/>
      <c r="AA11" s="56"/>
      <c r="AB11" s="56"/>
      <c r="AC11" s="56"/>
      <c r="AD11" s="56"/>
      <c r="AE11" s="56"/>
      <c r="AF11" s="56"/>
      <c r="AG11" s="56"/>
      <c r="AH11" s="56"/>
      <c r="AI11" s="57"/>
      <c r="AJ11" s="1"/>
      <c r="AK11" s="49"/>
      <c r="AL11" s="49"/>
      <c r="AM11" s="49"/>
      <c r="AN11" s="49"/>
      <c r="AO11" s="49"/>
    </row>
    <row r="12" spans="1:108" s="50" customFormat="1" ht="20.149999999999999" customHeight="1" outlineLevel="2">
      <c r="A12" s="302" t="s">
        <v>266</v>
      </c>
      <c r="B12" s="228" t="s">
        <v>267</v>
      </c>
      <c r="C12" s="227" t="str">
        <f>VLOOKUP(A12, 'NZS O&amp;G and CA100'!$B$7:$D$194, 3, FALSE)</f>
        <v>Disclosure</v>
      </c>
      <c r="D12" s="310">
        <f>IF(INDEX('NZS O&amp;G and CA100'!$D$5:$D$193, MATCH($A12, 'NZS O&amp;G and CA100'!$B$5:$B$193, 0)) =$B$4, INDEX('NZS O&amp;G and CA100'!$E$5:$N$193, MATCH($A12, 'NZS O&amp;G and CA100'!$B$5:$B$193, 0),MATCH(D$3, 'NZS O&amp;G and CA100'!$E$3:$N$3, 0)),"")</f>
        <v>1</v>
      </c>
      <c r="E12" s="311">
        <f>IF(INDEX('NZS O&amp;G and CA100'!$D$5:$D$193, MATCH($A12, 'NZS O&amp;G and CA100'!$B$5:$B$193, 0)) =$B$4, INDEX('NZS O&amp;G and CA100'!$E$5:$N$193, MATCH($A12, 'NZS O&amp;G and CA100'!$B$5:$B$193, 0),MATCH(E$3, 'NZS O&amp;G and CA100'!$E$3:$N$3, 0)),"")</f>
        <v>0</v>
      </c>
      <c r="F12" s="311">
        <f>IF(INDEX('NZS O&amp;G and CA100'!$D$5:$D$193, MATCH($A12, 'NZS O&amp;G and CA100'!$B$5:$B$193, 0)) =$B$4, INDEX('NZS O&amp;G and CA100'!$E$5:$N$193, MATCH($A12, 'NZS O&amp;G and CA100'!$B$5:$B$193, 0),MATCH(F$3, 'NZS O&amp;G and CA100'!$E$3:$N$3, 0)),"")</f>
        <v>1</v>
      </c>
      <c r="G12" s="311">
        <f>IF(INDEX('NZS O&amp;G and CA100'!$D$5:$D$193, MATCH($A12, 'NZS O&amp;G and CA100'!$B$5:$B$193, 0)) =$B$4, INDEX('NZS O&amp;G and CA100'!$E$5:$N$193, MATCH($A12, 'NZS O&amp;G and CA100'!$B$5:$B$193, 0),MATCH(G$3, 'NZS O&amp;G and CA100'!$E$3:$N$3, 0)),"")</f>
        <v>1</v>
      </c>
      <c r="H12" s="311">
        <f>IF(INDEX('NZS O&amp;G and CA100'!$D$5:$D$193, MATCH($A12, 'NZS O&amp;G and CA100'!$B$5:$B$193, 0)) =$B$4, INDEX('NZS O&amp;G and CA100'!$E$5:$N$193, MATCH($A12, 'NZS O&amp;G and CA100'!$B$5:$B$193, 0),MATCH(H$3, 'NZS O&amp;G and CA100'!$E$3:$N$3, 0)),"")</f>
        <v>1</v>
      </c>
      <c r="I12" s="311">
        <f>IF(INDEX('NZS O&amp;G and CA100'!$D$5:$D$193, MATCH($A12, 'NZS O&amp;G and CA100'!$B$5:$B$193, 0)) =$B$4, INDEX('NZS O&amp;G and CA100'!$E$5:$N$193, MATCH($A12, 'NZS O&amp;G and CA100'!$B$5:$B$193, 0),MATCH(I$3, 'NZS O&amp;G and CA100'!$E$3:$N$3, 0)),"")</f>
        <v>1</v>
      </c>
      <c r="J12" s="311">
        <f>IF(INDEX('NZS O&amp;G and CA100'!$D$5:$D$193, MATCH($A12, 'NZS O&amp;G and CA100'!$B$5:$B$193, 0)) =$B$4, INDEX('NZS O&amp;G and CA100'!$E$5:$N$193, MATCH($A12, 'NZS O&amp;G and CA100'!$B$5:$B$193, 0),MATCH(J$3, 'NZS O&amp;G and CA100'!$E$3:$N$3, 0)),"")</f>
        <v>1</v>
      </c>
      <c r="K12" s="311">
        <f>IF(INDEX('NZS O&amp;G and CA100'!$D$5:$D$193, MATCH($A12, 'NZS O&amp;G and CA100'!$B$5:$B$193, 0)) =$B$4, INDEX('NZS O&amp;G and CA100'!$E$5:$N$193, MATCH($A12, 'NZS O&amp;G and CA100'!$B$5:$B$193, 0),MATCH(K$3, 'NZS O&amp;G and CA100'!$E$3:$N$3, 0)),"")</f>
        <v>1</v>
      </c>
      <c r="L12" s="311">
        <f>IF(INDEX('NZS O&amp;G and CA100'!$D$5:$D$193, MATCH($A12, 'NZS O&amp;G and CA100'!$B$5:$B$193, 0)) =$B$4, INDEX('NZS O&amp;G and CA100'!$E$5:$N$193, MATCH($A12, 'NZS O&amp;G and CA100'!$B$5:$B$193, 0),MATCH(L$3, 'NZS O&amp;G and CA100'!$E$3:$N$3, 0)),"")</f>
        <v>1</v>
      </c>
      <c r="M12" s="312">
        <f>IF(INDEX('NZS O&amp;G and CA100'!$D$5:$D$193, MATCH($A12, 'NZS O&amp;G and CA100'!$B$5:$B$193, 0)) =$B$4, INDEX('NZS O&amp;G and CA100'!$E$5:$N$193, MATCH($A12, 'NZS O&amp;G and CA100'!$B$5:$B$193, 0),MATCH(M$3, 'NZS O&amp;G and CA100'!$E$3:$N$3, 0)),"")</f>
        <v>1</v>
      </c>
      <c r="N12" s="1"/>
      <c r="O12" s="55"/>
      <c r="P12" s="56"/>
      <c r="Q12" s="56"/>
      <c r="R12" s="56"/>
      <c r="S12" s="56"/>
      <c r="T12" s="56"/>
      <c r="U12" s="56"/>
      <c r="V12" s="56"/>
      <c r="W12" s="56"/>
      <c r="X12" s="57"/>
      <c r="Y12" s="1"/>
      <c r="Z12" s="55"/>
      <c r="AA12" s="56"/>
      <c r="AB12" s="56"/>
      <c r="AC12" s="56"/>
      <c r="AD12" s="56"/>
      <c r="AE12" s="56"/>
      <c r="AF12" s="56"/>
      <c r="AG12" s="56"/>
      <c r="AH12" s="56"/>
      <c r="AI12" s="57"/>
      <c r="AJ12" s="1"/>
      <c r="AK12" s="49"/>
      <c r="AL12" s="49"/>
      <c r="AM12" s="49"/>
      <c r="AN12" s="49"/>
      <c r="AO12" s="49"/>
    </row>
    <row r="13" spans="1:108" s="50" customFormat="1" ht="20.149999999999999" customHeight="1" outlineLevel="2">
      <c r="A13" s="302" t="s">
        <v>268</v>
      </c>
      <c r="B13" s="228" t="s">
        <v>68</v>
      </c>
      <c r="C13" s="227" t="str">
        <f>VLOOKUP(A13, 'NZS O&amp;G and CA100'!$B$7:$D$194, 3, FALSE)</f>
        <v>Disclosure</v>
      </c>
      <c r="D13" s="310">
        <f>IF(INDEX('NZS O&amp;G and CA100'!$D$5:$D$193, MATCH($A13, 'NZS O&amp;G and CA100'!$B$5:$B$193, 0)) =$B$4, INDEX('NZS O&amp;G and CA100'!$E$5:$N$193, MATCH($A13, 'NZS O&amp;G and CA100'!$B$5:$B$193, 0),MATCH(D$3, 'NZS O&amp;G and CA100'!$E$3:$N$3, 0)),"")</f>
        <v>1</v>
      </c>
      <c r="E13" s="311">
        <f>IF(INDEX('NZS O&amp;G and CA100'!$D$5:$D$193, MATCH($A13, 'NZS O&amp;G and CA100'!$B$5:$B$193, 0)) =$B$4, INDEX('NZS O&amp;G and CA100'!$E$5:$N$193, MATCH($A13, 'NZS O&amp;G and CA100'!$B$5:$B$193, 0),MATCH(E$3, 'NZS O&amp;G and CA100'!$E$3:$N$3, 0)),"")</f>
        <v>0</v>
      </c>
      <c r="F13" s="311">
        <f>IF(INDEX('NZS O&amp;G and CA100'!$D$5:$D$193, MATCH($A13, 'NZS O&amp;G and CA100'!$B$5:$B$193, 0)) =$B$4, INDEX('NZS O&amp;G and CA100'!$E$5:$N$193, MATCH($A13, 'NZS O&amp;G and CA100'!$B$5:$B$193, 0),MATCH(F$3, 'NZS O&amp;G and CA100'!$E$3:$N$3, 0)),"")</f>
        <v>0</v>
      </c>
      <c r="G13" s="311">
        <f>IF(INDEX('NZS O&amp;G and CA100'!$D$5:$D$193, MATCH($A13, 'NZS O&amp;G and CA100'!$B$5:$B$193, 0)) =$B$4, INDEX('NZS O&amp;G and CA100'!$E$5:$N$193, MATCH($A13, 'NZS O&amp;G and CA100'!$B$5:$B$193, 0),MATCH(G$3, 'NZS O&amp;G and CA100'!$E$3:$N$3, 0)),"")</f>
        <v>1</v>
      </c>
      <c r="H13" s="311">
        <f>IF(INDEX('NZS O&amp;G and CA100'!$D$5:$D$193, MATCH($A13, 'NZS O&amp;G and CA100'!$B$5:$B$193, 0)) =$B$4, INDEX('NZS O&amp;G and CA100'!$E$5:$N$193, MATCH($A13, 'NZS O&amp;G and CA100'!$B$5:$B$193, 0),MATCH(H$3, 'NZS O&amp;G and CA100'!$E$3:$N$3, 0)),"")</f>
        <v>0</v>
      </c>
      <c r="I13" s="311">
        <f>IF(INDEX('NZS O&amp;G and CA100'!$D$5:$D$193, MATCH($A13, 'NZS O&amp;G and CA100'!$B$5:$B$193, 0)) =$B$4, INDEX('NZS O&amp;G and CA100'!$E$5:$N$193, MATCH($A13, 'NZS O&amp;G and CA100'!$B$5:$B$193, 0),MATCH(I$3, 'NZS O&amp;G and CA100'!$E$3:$N$3, 0)),"")</f>
        <v>1</v>
      </c>
      <c r="J13" s="311">
        <f>IF(INDEX('NZS O&amp;G and CA100'!$D$5:$D$193, MATCH($A13, 'NZS O&amp;G and CA100'!$B$5:$B$193, 0)) =$B$4, INDEX('NZS O&amp;G and CA100'!$E$5:$N$193, MATCH($A13, 'NZS O&amp;G and CA100'!$B$5:$B$193, 0),MATCH(J$3, 'NZS O&amp;G and CA100'!$E$3:$N$3, 0)),"")</f>
        <v>0</v>
      </c>
      <c r="K13" s="311">
        <f>IF(INDEX('NZS O&amp;G and CA100'!$D$5:$D$193, MATCH($A13, 'NZS O&amp;G and CA100'!$B$5:$B$193, 0)) =$B$4, INDEX('NZS O&amp;G and CA100'!$E$5:$N$193, MATCH($A13, 'NZS O&amp;G and CA100'!$B$5:$B$193, 0),MATCH(K$3, 'NZS O&amp;G and CA100'!$E$3:$N$3, 0)),"")</f>
        <v>1</v>
      </c>
      <c r="L13" s="311">
        <f>IF(INDEX('NZS O&amp;G and CA100'!$D$5:$D$193, MATCH($A13, 'NZS O&amp;G and CA100'!$B$5:$B$193, 0)) =$B$4, INDEX('NZS O&amp;G and CA100'!$E$5:$N$193, MATCH($A13, 'NZS O&amp;G and CA100'!$B$5:$B$193, 0),MATCH(L$3, 'NZS O&amp;G and CA100'!$E$3:$N$3, 0)),"")</f>
        <v>0</v>
      </c>
      <c r="M13" s="312">
        <f>IF(INDEX('NZS O&amp;G and CA100'!$D$5:$D$193, MATCH($A13, 'NZS O&amp;G and CA100'!$B$5:$B$193, 0)) =$B$4, INDEX('NZS O&amp;G and CA100'!$E$5:$N$193, MATCH($A13, 'NZS O&amp;G and CA100'!$B$5:$B$193, 0),MATCH(M$3, 'NZS O&amp;G and CA100'!$E$3:$N$3, 0)),"")</f>
        <v>1</v>
      </c>
      <c r="N13" s="1"/>
      <c r="O13" s="55"/>
      <c r="P13" s="56"/>
      <c r="Q13" s="56"/>
      <c r="R13" s="56"/>
      <c r="S13" s="56"/>
      <c r="T13" s="56"/>
      <c r="U13" s="56"/>
      <c r="V13" s="56"/>
      <c r="W13" s="56"/>
      <c r="X13" s="57"/>
      <c r="Y13" s="1"/>
      <c r="Z13" s="55"/>
      <c r="AA13" s="56"/>
      <c r="AB13" s="56"/>
      <c r="AC13" s="56"/>
      <c r="AD13" s="56"/>
      <c r="AE13" s="56"/>
      <c r="AF13" s="56"/>
      <c r="AG13" s="56"/>
      <c r="AH13" s="56"/>
      <c r="AI13" s="57"/>
      <c r="AJ13" s="1"/>
      <c r="AK13" s="49"/>
      <c r="AL13" s="49"/>
      <c r="AM13" s="49"/>
      <c r="AN13" s="49"/>
      <c r="AO13" s="49"/>
    </row>
    <row r="14" spans="1:108" s="50" customFormat="1" ht="6.65" customHeight="1" outlineLevel="1">
      <c r="A14" s="302"/>
      <c r="B14" s="231"/>
      <c r="C14" s="232"/>
      <c r="D14" s="55"/>
      <c r="E14" s="56"/>
      <c r="F14" s="56"/>
      <c r="G14" s="56"/>
      <c r="H14" s="56"/>
      <c r="I14" s="56"/>
      <c r="J14" s="56"/>
      <c r="K14" s="56"/>
      <c r="L14" s="56"/>
      <c r="M14" s="57"/>
      <c r="N14" s="1"/>
      <c r="O14" s="55"/>
      <c r="P14" s="56"/>
      <c r="Q14" s="56"/>
      <c r="R14" s="56"/>
      <c r="S14" s="56"/>
      <c r="T14" s="56"/>
      <c r="U14" s="56"/>
      <c r="V14" s="56"/>
      <c r="W14" s="56"/>
      <c r="X14" s="57"/>
      <c r="Y14" s="1"/>
      <c r="Z14" s="55"/>
      <c r="AA14" s="56"/>
      <c r="AB14" s="56"/>
      <c r="AC14" s="56"/>
      <c r="AD14" s="56"/>
      <c r="AE14" s="56"/>
      <c r="AF14" s="56"/>
      <c r="AG14" s="56"/>
      <c r="AH14" s="56"/>
      <c r="AI14" s="57"/>
      <c r="AJ14" s="1"/>
      <c r="AK14" s="49"/>
      <c r="AL14" s="49"/>
      <c r="AM14" s="49"/>
      <c r="AN14" s="49"/>
      <c r="AO14" s="49"/>
    </row>
    <row r="15" spans="1:108" s="50" customFormat="1" ht="18.649999999999999" customHeight="1" thickBot="1">
      <c r="A15" s="302"/>
      <c r="B15" s="229"/>
      <c r="C15" s="230"/>
      <c r="D15" s="58"/>
      <c r="E15" s="59"/>
      <c r="F15" s="59"/>
      <c r="G15" s="59"/>
      <c r="H15" s="59"/>
      <c r="I15" s="59"/>
      <c r="J15" s="59"/>
      <c r="K15" s="59"/>
      <c r="L15" s="59"/>
      <c r="M15" s="60"/>
      <c r="N15" s="1"/>
      <c r="O15" s="55"/>
      <c r="P15" s="56"/>
      <c r="Q15" s="56"/>
      <c r="R15" s="56"/>
      <c r="S15" s="56"/>
      <c r="T15" s="56"/>
      <c r="U15" s="56"/>
      <c r="V15" s="56"/>
      <c r="W15" s="56"/>
      <c r="X15" s="57"/>
      <c r="Y15" s="1"/>
      <c r="Z15" s="55"/>
      <c r="AA15" s="56"/>
      <c r="AB15" s="56"/>
      <c r="AC15" s="56"/>
      <c r="AD15" s="56"/>
      <c r="AE15" s="56"/>
      <c r="AF15" s="56"/>
      <c r="AG15" s="56"/>
      <c r="AH15" s="56"/>
      <c r="AI15" s="57"/>
      <c r="AJ15" s="1"/>
      <c r="AK15" s="49"/>
      <c r="AL15" s="49"/>
      <c r="AM15" s="49"/>
      <c r="AN15" s="49"/>
      <c r="AO15" s="49"/>
    </row>
    <row r="16" spans="1:108" s="50" customFormat="1" ht="18.649999999999999" customHeight="1">
      <c r="A16" s="302"/>
      <c r="B16" s="231"/>
      <c r="C16" s="232"/>
      <c r="D16" s="61"/>
      <c r="E16" s="62"/>
      <c r="F16" s="62"/>
      <c r="G16" s="62"/>
      <c r="H16" s="62"/>
      <c r="I16" s="62"/>
      <c r="J16" s="62"/>
      <c r="K16" s="62"/>
      <c r="L16" s="62"/>
      <c r="M16" s="63"/>
      <c r="N16" s="1"/>
      <c r="O16" s="61"/>
      <c r="P16" s="62"/>
      <c r="Q16" s="62"/>
      <c r="R16" s="62"/>
      <c r="S16" s="62"/>
      <c r="T16" s="62"/>
      <c r="U16" s="62"/>
      <c r="V16" s="62"/>
      <c r="W16" s="62"/>
      <c r="X16" s="63"/>
      <c r="Y16" s="1"/>
      <c r="Z16" s="61"/>
      <c r="AA16" s="62"/>
      <c r="AB16" s="62"/>
      <c r="AC16" s="62"/>
      <c r="AD16" s="62"/>
      <c r="AE16" s="62"/>
      <c r="AF16" s="62"/>
      <c r="AG16" s="62"/>
      <c r="AH16" s="62"/>
      <c r="AI16" s="63"/>
      <c r="AJ16" s="1"/>
      <c r="AK16" s="49"/>
      <c r="AL16" s="49"/>
      <c r="AM16" s="49"/>
      <c r="AN16" s="49"/>
      <c r="AO16" s="49"/>
    </row>
    <row r="17" spans="1:41" s="50" customFormat="1" ht="20.149999999999999" customHeight="1">
      <c r="A17" s="302">
        <v>2</v>
      </c>
      <c r="B17" s="233" t="s">
        <v>71</v>
      </c>
      <c r="C17" s="227"/>
      <c r="D17" s="307">
        <f>IF($B$4="Climate Solutions","",IF($B$4="Alignment",AVERAGE(D19,D25),AVERAGE(D18,D19)))</f>
        <v>1</v>
      </c>
      <c r="E17" s="308">
        <f t="shared" ref="E17:M17" si="5">IF($B$4="Climate Solutions","",IF($B$4="Alignment",AVERAGE(E19,E25),AVERAGE(E18,E19)))</f>
        <v>0.5</v>
      </c>
      <c r="F17" s="308">
        <f t="shared" si="5"/>
        <v>0.75</v>
      </c>
      <c r="G17" s="308">
        <f t="shared" si="5"/>
        <v>0.83333333333333326</v>
      </c>
      <c r="H17" s="308">
        <f t="shared" si="5"/>
        <v>0.66666666666666663</v>
      </c>
      <c r="I17" s="308">
        <f>IF($B$4="Climate Solutions","",IF($B$4="Alignment",AVERAGE(I19,I25),AVERAGE(I18,I19)))</f>
        <v>1</v>
      </c>
      <c r="J17" s="308">
        <f t="shared" si="5"/>
        <v>0.66666666666666663</v>
      </c>
      <c r="K17" s="308">
        <f t="shared" si="5"/>
        <v>0.83333333333333326</v>
      </c>
      <c r="L17" s="308">
        <f t="shared" si="5"/>
        <v>0.75</v>
      </c>
      <c r="M17" s="309">
        <f t="shared" si="5"/>
        <v>0.83333333333333326</v>
      </c>
      <c r="N17" s="1"/>
      <c r="O17" s="55">
        <f>SUM(O19,O18,O25)/COUNT(O18,O19,O25)</f>
        <v>1</v>
      </c>
      <c r="P17" s="56">
        <f t="shared" ref="P17:X17" si="6">SUM(P19,P18,P25)/COUNT(P18,P19,P25)</f>
        <v>0</v>
      </c>
      <c r="Q17" s="56">
        <f t="shared" si="6"/>
        <v>0</v>
      </c>
      <c r="R17" s="56">
        <f t="shared" si="6"/>
        <v>1</v>
      </c>
      <c r="S17" s="56">
        <f t="shared" si="6"/>
        <v>0</v>
      </c>
      <c r="T17" s="56">
        <f t="shared" si="6"/>
        <v>1</v>
      </c>
      <c r="U17" s="56">
        <f t="shared" si="6"/>
        <v>0</v>
      </c>
      <c r="V17" s="56">
        <f t="shared" si="6"/>
        <v>0</v>
      </c>
      <c r="W17" s="56">
        <f t="shared" si="6"/>
        <v>0</v>
      </c>
      <c r="X17" s="57">
        <f t="shared" si="6"/>
        <v>0</v>
      </c>
      <c r="Y17" s="1"/>
      <c r="Z17" s="55"/>
      <c r="AA17" s="56"/>
      <c r="AB17" s="56"/>
      <c r="AC17" s="56"/>
      <c r="AD17" s="56"/>
      <c r="AE17" s="56"/>
      <c r="AF17" s="56"/>
      <c r="AG17" s="56"/>
      <c r="AH17" s="56"/>
      <c r="AI17" s="57"/>
      <c r="AJ17" s="1"/>
      <c r="AK17" s="49"/>
      <c r="AL17" s="49"/>
      <c r="AM17" s="49"/>
      <c r="AN17" s="49"/>
      <c r="AO17" s="49"/>
    </row>
    <row r="18" spans="1:41" s="50" customFormat="1" ht="20.149999999999999" customHeight="1" outlineLevel="1">
      <c r="A18" s="302">
        <v>2.1</v>
      </c>
      <c r="B18" s="226" t="s">
        <v>72</v>
      </c>
      <c r="C18" s="227" t="str">
        <f>VLOOKUP(A18, 'NZS O&amp;G and CA100'!$B$7:$D$194, 3, FALSE)</f>
        <v>Disclosure</v>
      </c>
      <c r="D18" s="310">
        <f>IF(INDEX('NZS O&amp;G and CA100'!$D$5:$D$193, MATCH($A18, 'NZS O&amp;G and CA100'!$B$5:$B$193, 0)) =$B$4, INDEX('NZS O&amp;G and CA100'!$E$5:$N$193, MATCH($A18, 'NZS O&amp;G and CA100'!$B$5:$B$193, 0), MATCH(D$3, 'NZS O&amp;G and CA100'!$E$3:$N$3, 0)), "")</f>
        <v>1</v>
      </c>
      <c r="E18" s="311">
        <f>IF(INDEX('NZS O&amp;G and CA100'!$D$5:$D$193, MATCH($A18, 'NZS O&amp;G and CA100'!$B$5:$B$193, 0)) =$B$4, INDEX('NZS O&amp;G and CA100'!$E$5:$N$193, MATCH($A18, 'NZS O&amp;G and CA100'!$B$5:$B$193, 0), MATCH($D3, 'NZS O&amp;G and CA100'!$E$3:$N$3, 0)), "")</f>
        <v>1</v>
      </c>
      <c r="F18" s="311">
        <f>IF(INDEX('NZS O&amp;G and CA100'!$D$5:$D$193, MATCH($A18, 'NZS O&amp;G and CA100'!$B$5:$B$193, 0)) =$B$4, INDEX('NZS O&amp;G and CA100'!$E$5:$N$193, MATCH($A18, 'NZS O&amp;G and CA100'!$B$5:$B$193, 0), MATCH($D3, 'NZS O&amp;G and CA100'!$E$3:$N$3, 0)), "")</f>
        <v>1</v>
      </c>
      <c r="G18" s="311">
        <f>IF(INDEX('NZS O&amp;G and CA100'!$D$5:$D$193, MATCH($A18, 'NZS O&amp;G and CA100'!$B$5:$B$193, 0)) =$B$4, INDEX('NZS O&amp;G and CA100'!$E$5:$N$193, MATCH($A18, 'NZS O&amp;G and CA100'!$B$5:$B$193, 0), MATCH($D3, 'NZS O&amp;G and CA100'!$E$3:$N$3, 0)), "")</f>
        <v>1</v>
      </c>
      <c r="H18" s="311">
        <f>IF(INDEX('NZS O&amp;G and CA100'!$D$5:$D$193, MATCH($A18, 'NZS O&amp;G and CA100'!$B$5:$B$193, 0)) =$B$4, INDEX('NZS O&amp;G and CA100'!$E$5:$N$193, MATCH($A18, 'NZS O&amp;G and CA100'!$B$5:$B$193, 0), MATCH($D3, 'NZS O&amp;G and CA100'!$E$3:$N$3, 0)), "")</f>
        <v>1</v>
      </c>
      <c r="I18" s="311">
        <f>IF(INDEX('NZS O&amp;G and CA100'!$D$5:$D$193, MATCH($A18, 'NZS O&amp;G and CA100'!$B$5:$B$193, 0)) =$B$4, INDEX('NZS O&amp;G and CA100'!$E$5:$N$193, MATCH($A18, 'NZS O&amp;G and CA100'!$B$5:$B$193, 0), MATCH($D3, 'NZS O&amp;G and CA100'!$E$3:$N$3, 0)), "")</f>
        <v>1</v>
      </c>
      <c r="J18" s="311">
        <f>IF(INDEX('NZS O&amp;G and CA100'!$D$5:$D$193, MATCH($A18, 'NZS O&amp;G and CA100'!$B$5:$B$193, 0)) =$B$4, INDEX('NZS O&amp;G and CA100'!$E$5:$N$193, MATCH($A18, 'NZS O&amp;G and CA100'!$B$5:$B$193, 0), MATCH($D3, 'NZS O&amp;G and CA100'!$E$3:$N$3, 0)), "")</f>
        <v>1</v>
      </c>
      <c r="K18" s="311">
        <f>IF(INDEX('NZS O&amp;G and CA100'!$D$5:$D$193, MATCH($A18, 'NZS O&amp;G and CA100'!$B$5:$B$193, 0)) =$B$4, INDEX('NZS O&amp;G and CA100'!$E$5:$N$193, MATCH($A18, 'NZS O&amp;G and CA100'!$B$5:$B$193, 0), MATCH($D3, 'NZS O&amp;G and CA100'!$E$3:$N$3, 0)), "")</f>
        <v>1</v>
      </c>
      <c r="L18" s="311">
        <f>IF(INDEX('NZS O&amp;G and CA100'!$D$5:$D$193, MATCH($A18, 'NZS O&amp;G and CA100'!$B$5:$B$193, 0)) =$B$4, INDEX('NZS O&amp;G and CA100'!$E$5:$N$193, MATCH($A18, 'NZS O&amp;G and CA100'!$B$5:$B$193, 0), MATCH($D3, 'NZS O&amp;G and CA100'!$E$3:$N$3, 0)), "")</f>
        <v>1</v>
      </c>
      <c r="M18" s="312">
        <f>IF(INDEX('NZS O&amp;G and CA100'!$D$5:$D$193, MATCH($A18, 'NZS O&amp;G and CA100'!$B$5:$B$193, 0)) =$B$4, INDEX('NZS O&amp;G and CA100'!$E$5:$N$193, MATCH($A18, 'NZS O&amp;G and CA100'!$B$5:$B$193, 0), MATCH($D3, 'NZS O&amp;G and CA100'!$E$3:$N$3, 0)), "")</f>
        <v>1</v>
      </c>
      <c r="N18" s="1"/>
      <c r="O18" s="55"/>
      <c r="P18" s="56"/>
      <c r="Q18" s="56"/>
      <c r="R18" s="56"/>
      <c r="S18" s="56"/>
      <c r="T18" s="56"/>
      <c r="U18" s="56"/>
      <c r="V18" s="56"/>
      <c r="W18" s="56"/>
      <c r="X18" s="57"/>
      <c r="Y18" s="1"/>
      <c r="Z18" s="55"/>
      <c r="AA18" s="56"/>
      <c r="AB18" s="56"/>
      <c r="AC18" s="56"/>
      <c r="AD18" s="56"/>
      <c r="AE18" s="56"/>
      <c r="AF18" s="56"/>
      <c r="AG18" s="56"/>
      <c r="AH18" s="56"/>
      <c r="AI18" s="57"/>
      <c r="AJ18" s="1"/>
      <c r="AK18" s="49"/>
      <c r="AL18" s="49"/>
      <c r="AM18" s="49"/>
      <c r="AN18" s="49"/>
      <c r="AO18" s="49"/>
    </row>
    <row r="19" spans="1:41" s="1" customFormat="1" ht="20.149999999999999" customHeight="1" outlineLevel="1">
      <c r="A19" s="302">
        <v>2.2000000000000002</v>
      </c>
      <c r="B19" s="234" t="s">
        <v>269</v>
      </c>
      <c r="C19" s="227" t="str">
        <f>VLOOKUP(A19, 'NZS O&amp;G and CA100'!$B$7:$D$194, 3, FALSE)</f>
        <v/>
      </c>
      <c r="D19" s="310">
        <f>IF($B$4="Climate Solutions", "", IF($B$4="Alignment", "Under development", ((SUM(D20,D22,D23)/COUNT(D20,D22,D23)))))</f>
        <v>1</v>
      </c>
      <c r="E19" s="311">
        <f t="shared" ref="E19:M19" si="7">IF($B$4="Climate Solutions", "", IF($B$4="Alignment", "Under development", ((SUM(E20,E22,E23)/COUNT(E20,E22,E23)))))</f>
        <v>0</v>
      </c>
      <c r="F19" s="311">
        <f>IF($B$4="Climate Solutions", "", IF($B$4="Alignment", "Under development", ((SUM(F20,F22,F23)/COUNT(F20,F22,F23)))))</f>
        <v>0.5</v>
      </c>
      <c r="G19" s="311">
        <f t="shared" si="7"/>
        <v>0.66666666666666663</v>
      </c>
      <c r="H19" s="311">
        <f t="shared" si="7"/>
        <v>0.33333333333333331</v>
      </c>
      <c r="I19" s="311">
        <f t="shared" si="7"/>
        <v>1</v>
      </c>
      <c r="J19" s="311">
        <f t="shared" si="7"/>
        <v>0.33333333333333331</v>
      </c>
      <c r="K19" s="311">
        <f t="shared" si="7"/>
        <v>0.66666666666666663</v>
      </c>
      <c r="L19" s="311">
        <f t="shared" si="7"/>
        <v>0.5</v>
      </c>
      <c r="M19" s="312">
        <f t="shared" si="7"/>
        <v>0.66666666666666663</v>
      </c>
      <c r="O19" s="185" t="str">
        <f>IF(AND(O21="Under development",O24="Under development"),"Under development", AVERAGE(O21,O24))</f>
        <v>Under development</v>
      </c>
      <c r="P19" s="186" t="str">
        <f t="shared" ref="P19:X19" si="8">IF(AND(P21="Under development",P24="Under development"),"Under development", AVERAGE(P21,P24))</f>
        <v>Under development</v>
      </c>
      <c r="Q19" s="186" t="str">
        <f t="shared" si="8"/>
        <v>Under development</v>
      </c>
      <c r="R19" s="186" t="str">
        <f t="shared" si="8"/>
        <v>Under development</v>
      </c>
      <c r="S19" s="186" t="str">
        <f t="shared" si="8"/>
        <v>Under development</v>
      </c>
      <c r="T19" s="186" t="str">
        <f t="shared" si="8"/>
        <v>Under development</v>
      </c>
      <c r="U19" s="186" t="str">
        <f t="shared" si="8"/>
        <v>Under development</v>
      </c>
      <c r="V19" s="186" t="str">
        <f t="shared" si="8"/>
        <v>Under development</v>
      </c>
      <c r="W19" s="186" t="str">
        <f t="shared" si="8"/>
        <v>Under development</v>
      </c>
      <c r="X19" s="187" t="str">
        <f t="shared" si="8"/>
        <v>Under development</v>
      </c>
      <c r="Z19" s="55"/>
      <c r="AA19" s="56"/>
      <c r="AB19" s="56"/>
      <c r="AC19" s="56"/>
      <c r="AD19" s="56"/>
      <c r="AE19" s="56"/>
      <c r="AF19" s="56"/>
      <c r="AG19" s="56"/>
      <c r="AH19" s="56"/>
      <c r="AI19" s="57"/>
      <c r="AK19" s="49"/>
      <c r="AL19" s="49"/>
      <c r="AM19" s="49"/>
      <c r="AN19" s="49"/>
      <c r="AO19" s="49"/>
    </row>
    <row r="20" spans="1:41" s="1" customFormat="1" ht="20.149999999999999" customHeight="1" outlineLevel="2">
      <c r="A20" s="302" t="s">
        <v>270</v>
      </c>
      <c r="B20" s="228" t="s">
        <v>74</v>
      </c>
      <c r="C20" s="227" t="str">
        <f>VLOOKUP(A20, 'NZS O&amp;G and CA100'!$B$7:$D$194, 3, FALSE)</f>
        <v>Disclosure</v>
      </c>
      <c r="D20" s="310">
        <f>IF(INDEX('NZS O&amp;G and CA100'!$D$5:$D$193, MATCH($A20, 'NZS O&amp;G and CA100'!$B$5:$B$193, 0)) =$B$4, INDEX('NZS O&amp;G and CA100'!$E$5:$N$193, MATCH($A20, 'NZS O&amp;G and CA100'!$B$5:$B$193, 0),MATCH(D$3, 'NZS O&amp;G and CA100'!$E$3:$N$3, 0)),"")</f>
        <v>1</v>
      </c>
      <c r="E20" s="311">
        <f>IF(INDEX('NZS O&amp;G and CA100'!$D$5:$D$193, MATCH($A20, 'NZS O&amp;G and CA100'!$B$5:$B$193, 0)) =$B$4, INDEX('NZS O&amp;G and CA100'!$E$5:$N$193, MATCH($A20, 'NZS O&amp;G and CA100'!$B$5:$B$193, 0),MATCH(E$3, 'NZS O&amp;G and CA100'!$E$3:$N$3, 0)),"")</f>
        <v>0</v>
      </c>
      <c r="F20" s="311">
        <f>IF(INDEX('NZS O&amp;G and CA100'!$D$5:$D$193, MATCH($A20, 'NZS O&amp;G and CA100'!$B$5:$B$193, 0)) =$B$4, INDEX('NZS O&amp;G and CA100'!$E$5:$N$193, MATCH($A20, 'NZS O&amp;G and CA100'!$B$5:$B$193, 0),MATCH(F$3, 'NZS O&amp;G and CA100'!$E$3:$N$3, 0)),"")</f>
        <v>1</v>
      </c>
      <c r="G20" s="311">
        <f>IF(INDEX('NZS O&amp;G and CA100'!$D$5:$D$193, MATCH($A20, 'NZS O&amp;G and CA100'!$B$5:$B$193, 0)) =$B$4, INDEX('NZS O&amp;G and CA100'!$E$5:$N$193, MATCH($A20, 'NZS O&amp;G and CA100'!$B$5:$B$193, 0),MATCH(G$3, 'NZS O&amp;G and CA100'!$E$3:$N$3, 0)),"")</f>
        <v>1</v>
      </c>
      <c r="H20" s="311">
        <f>IF(INDEX('NZS O&amp;G and CA100'!$D$5:$D$193, MATCH($A20, 'NZS O&amp;G and CA100'!$B$5:$B$193, 0)) =$B$4, INDEX('NZS O&amp;G and CA100'!$E$5:$N$193, MATCH($A20, 'NZS O&amp;G and CA100'!$B$5:$B$193, 0),MATCH(H$3, 'NZS O&amp;G and CA100'!$E$3:$N$3, 0)),"")</f>
        <v>1</v>
      </c>
      <c r="I20" s="311">
        <f>IF(INDEX('NZS O&amp;G and CA100'!$D$5:$D$193, MATCH($A20, 'NZS O&amp;G and CA100'!$B$5:$B$193, 0)) =$B$4, INDEX('NZS O&amp;G and CA100'!$E$5:$N$193, MATCH($A20, 'NZS O&amp;G and CA100'!$B$5:$B$193, 0),MATCH(I$3, 'NZS O&amp;G and CA100'!$E$3:$N$3, 0)),"")</f>
        <v>1</v>
      </c>
      <c r="J20" s="311">
        <f>IF(INDEX('NZS O&amp;G and CA100'!$D$5:$D$193, MATCH($A20, 'NZS O&amp;G and CA100'!$B$5:$B$193, 0)) =$B$4, INDEX('NZS O&amp;G and CA100'!$E$5:$N$193, MATCH($A20, 'NZS O&amp;G and CA100'!$B$5:$B$193, 0),MATCH(J$3, 'NZS O&amp;G and CA100'!$E$3:$N$3, 0)),"")</f>
        <v>1</v>
      </c>
      <c r="K20" s="311">
        <f>IF(INDEX('NZS O&amp;G and CA100'!$D$5:$D$193, MATCH($A20, 'NZS O&amp;G and CA100'!$B$5:$B$193, 0)) =$B$4, INDEX('NZS O&amp;G and CA100'!$E$5:$N$193, MATCH($A20, 'NZS O&amp;G and CA100'!$B$5:$B$193, 0),MATCH(K$3, 'NZS O&amp;G and CA100'!$E$3:$N$3, 0)),"")</f>
        <v>1</v>
      </c>
      <c r="L20" s="311">
        <f>IF(INDEX('NZS O&amp;G and CA100'!$D$5:$D$193, MATCH($A20, 'NZS O&amp;G and CA100'!$B$5:$B$193, 0)) =$B$4, INDEX('NZS O&amp;G and CA100'!$E$5:$N$193, MATCH($A20, 'NZS O&amp;G and CA100'!$B$5:$B$193, 0),MATCH(L$3, 'NZS O&amp;G and CA100'!$E$3:$N$3, 0)),"")</f>
        <v>1</v>
      </c>
      <c r="M20" s="312">
        <f>IF(INDEX('NZS O&amp;G and CA100'!$D$5:$D$193, MATCH($A20, 'NZS O&amp;G and CA100'!$B$5:$B$193, 0)) =$B$4, INDEX('NZS O&amp;G and CA100'!$E$5:$N$193, MATCH($A20, 'NZS O&amp;G and CA100'!$B$5:$B$193, 0),MATCH(M$3, 'NZS O&amp;G and CA100'!$E$3:$N$3, 0)),"")</f>
        <v>1</v>
      </c>
      <c r="O20" s="55" t="str">
        <f>IF(INDEX('NZS O&amp;G and CA100'!$D$5:$D$193, MATCH($A20, 'NZS O&amp;G and CA100'!$B$5:$B$193, 0)) = "Alignment", INDEX('NZS O&amp;G and CA100'!$E$5:$N$193, MATCH($A20, 'NZS O&amp;G and CA100'!$B$5:$B$193, 0),MATCH(O$4, 'NZS O&amp;G and CA100'!$E$3:$N$3, 0)),"")</f>
        <v/>
      </c>
      <c r="P20" s="56" t="str">
        <f>IF(INDEX('NZS O&amp;G and CA100'!$D$5:$D$193, MATCH($A20, 'NZS O&amp;G and CA100'!$B$5:$B$193, 0)) = "Alignment", INDEX('NZS O&amp;G and CA100'!$E$5:$N$193, MATCH($A20, 'NZS O&amp;G and CA100'!$B$5:$B$193, 0),MATCH(P$4, 'NZS O&amp;G and CA100'!$E$3:$N$3, 0)),"")</f>
        <v/>
      </c>
      <c r="Q20" s="56" t="str">
        <f>IF(INDEX('NZS O&amp;G and CA100'!$D$5:$D$193, MATCH($A20, 'NZS O&amp;G and CA100'!$B$5:$B$193, 0)) = "Alignment", INDEX('NZS O&amp;G and CA100'!$E$5:$N$193, MATCH($A20, 'NZS O&amp;G and CA100'!$B$5:$B$193, 0),MATCH(Q$4, 'NZS O&amp;G and CA100'!$E$3:$N$3, 0)),"")</f>
        <v/>
      </c>
      <c r="R20" s="56" t="str">
        <f>IF(INDEX('NZS O&amp;G and CA100'!$D$5:$D$193, MATCH($A20, 'NZS O&amp;G and CA100'!$B$5:$B$193, 0)) = "Alignment", INDEX('NZS O&amp;G and CA100'!$E$5:$N$193, MATCH($A20, 'NZS O&amp;G and CA100'!$B$5:$B$193, 0),MATCH(R$4, 'NZS O&amp;G and CA100'!$E$3:$N$3, 0)),"")</f>
        <v/>
      </c>
      <c r="S20" s="56" t="str">
        <f>IF(INDEX('NZS O&amp;G and CA100'!$D$5:$D$193, MATCH($A20, 'NZS O&amp;G and CA100'!$B$5:$B$193, 0)) = "Alignment", INDEX('NZS O&amp;G and CA100'!$E$5:$N$193, MATCH($A20, 'NZS O&amp;G and CA100'!$B$5:$B$193, 0),MATCH(S$4, 'NZS O&amp;G and CA100'!$E$3:$N$3, 0)),"")</f>
        <v/>
      </c>
      <c r="T20" s="56" t="str">
        <f>IF(INDEX('NZS O&amp;G and CA100'!$D$5:$D$193, MATCH($A20, 'NZS O&amp;G and CA100'!$B$5:$B$193, 0)) = "Alignment", INDEX('NZS O&amp;G and CA100'!$E$5:$N$193, MATCH($A20, 'NZS O&amp;G and CA100'!$B$5:$B$193, 0),MATCH(T$4, 'NZS O&amp;G and CA100'!$E$3:$N$3, 0)),"")</f>
        <v/>
      </c>
      <c r="U20" s="56" t="str">
        <f>IF(INDEX('NZS O&amp;G and CA100'!$D$5:$D$193, MATCH($A20, 'NZS O&amp;G and CA100'!$B$5:$B$193, 0)) = "Alignment", INDEX('NZS O&amp;G and CA100'!$E$5:$N$193, MATCH($A20, 'NZS O&amp;G and CA100'!$B$5:$B$193, 0),MATCH(U$4, 'NZS O&amp;G and CA100'!$E$3:$N$3, 0)),"")</f>
        <v/>
      </c>
      <c r="V20" s="56" t="str">
        <f>IF(INDEX('NZS O&amp;G and CA100'!$D$5:$D$193, MATCH($A20, 'NZS O&amp;G and CA100'!$B$5:$B$193, 0)) = "Alignment", INDEX('NZS O&amp;G and CA100'!$E$5:$N$193, MATCH($A20, 'NZS O&amp;G and CA100'!$B$5:$B$193, 0),MATCH(V$4, 'NZS O&amp;G and CA100'!$E$3:$N$3, 0)),"")</f>
        <v/>
      </c>
      <c r="W20" s="56" t="str">
        <f>IF(INDEX('NZS O&amp;G and CA100'!$D$5:$D$193, MATCH($A20, 'NZS O&amp;G and CA100'!$B$5:$B$193, 0)) = "Alignment", INDEX('NZS O&amp;G and CA100'!$E$5:$N$193, MATCH($A20, 'NZS O&amp;G and CA100'!$B$5:$B$193, 0),MATCH(L$3, 'NZS O&amp;G and CA100'!$E$3:$N$3, 0)),"")</f>
        <v/>
      </c>
      <c r="X20" s="57" t="str">
        <f>IF(INDEX('NZS O&amp;G and CA100'!$D$5:$D$193, MATCH($A20, 'NZS O&amp;G and CA100'!$B$5:$B$193, 0)) = "Alignment", INDEX('NZS O&amp;G and CA100'!$E$5:$N$193, MATCH($A20, 'NZS O&amp;G and CA100'!$B$5:$B$193, 0),MATCH(M$3, 'NZS O&amp;G and CA100'!$E$3:$N$3, 0)),"")</f>
        <v/>
      </c>
      <c r="Z20" s="55"/>
      <c r="AA20" s="56"/>
      <c r="AB20" s="56"/>
      <c r="AC20" s="56"/>
      <c r="AD20" s="56"/>
      <c r="AE20" s="56"/>
      <c r="AF20" s="56"/>
      <c r="AG20" s="56"/>
      <c r="AH20" s="56"/>
      <c r="AI20" s="57"/>
      <c r="AK20" s="49"/>
      <c r="AL20" s="49"/>
      <c r="AM20" s="49"/>
      <c r="AN20" s="49"/>
      <c r="AO20" s="49"/>
    </row>
    <row r="21" spans="1:41" s="1" customFormat="1" ht="20.149999999999999" customHeight="1" outlineLevel="2">
      <c r="A21" s="302" t="s">
        <v>271</v>
      </c>
      <c r="B21" s="235" t="s">
        <v>75</v>
      </c>
      <c r="C21" s="236" t="str">
        <f>VLOOKUP(A21, 'NZS O&amp;G and CA100'!$B$7:$D$194, 3, FALSE)</f>
        <v>Alignment</v>
      </c>
      <c r="D21" s="310" t="str">
        <f>IF(INDEX('NZS O&amp;G and CA100'!$D$5:$D$193, MATCH($A21, 'NZS O&amp;G and CA100'!$B$5:$B$193, 0)) =$B$4, INDEX('NZS O&amp;G and CA100'!$E$5:$N$193, MATCH($A21, 'NZS O&amp;G and CA100'!$B$5:$B$193, 0),MATCH(D$3, 'NZS O&amp;G and CA100'!$E$3:$N$3, 0)),"")</f>
        <v/>
      </c>
      <c r="E21" s="311" t="str">
        <f>IF(INDEX('NZS O&amp;G and CA100'!$D$5:$D$193, MATCH($A21, 'NZS O&amp;G and CA100'!$B$5:$B$193, 0)) =$B$4, INDEX('NZS O&amp;G and CA100'!$E$5:$N$193, MATCH($A21, 'NZS O&amp;G and CA100'!$B$5:$B$193, 0),MATCH(E$3, 'NZS O&amp;G and CA100'!$E$3:$N$3, 0)),"")</f>
        <v/>
      </c>
      <c r="F21" s="311" t="str">
        <f>IF(INDEX('NZS O&amp;G and CA100'!$D$5:$D$193, MATCH($A21, 'NZS O&amp;G and CA100'!$B$5:$B$193, 0)) =$B$4, INDEX('NZS O&amp;G and CA100'!$E$5:$N$193, MATCH($A21, 'NZS O&amp;G and CA100'!$B$5:$B$193, 0),MATCH(F$3, 'NZS O&amp;G and CA100'!$E$3:$N$3, 0)),"")</f>
        <v/>
      </c>
      <c r="G21" s="311" t="str">
        <f>IF(INDEX('NZS O&amp;G and CA100'!$D$5:$D$193, MATCH($A21, 'NZS O&amp;G and CA100'!$B$5:$B$193, 0)) =$B$4, INDEX('NZS O&amp;G and CA100'!$E$5:$N$193, MATCH($A21, 'NZS O&amp;G and CA100'!$B$5:$B$193, 0),MATCH(G$3, 'NZS O&amp;G and CA100'!$E$3:$N$3, 0)),"")</f>
        <v/>
      </c>
      <c r="H21" s="311" t="str">
        <f>IF(INDEX('NZS O&amp;G and CA100'!$D$5:$D$193, MATCH($A21, 'NZS O&amp;G and CA100'!$B$5:$B$193, 0)) =$B$4, INDEX('NZS O&amp;G and CA100'!$E$5:$N$193, MATCH($A21, 'NZS O&amp;G and CA100'!$B$5:$B$193, 0),MATCH(H$3, 'NZS O&amp;G and CA100'!$E$3:$N$3, 0)),"")</f>
        <v/>
      </c>
      <c r="I21" s="311" t="str">
        <f>IF(INDEX('NZS O&amp;G and CA100'!$D$5:$D$193, MATCH($A21, 'NZS O&amp;G and CA100'!$B$5:$B$193, 0)) =$B$4, INDEX('NZS O&amp;G and CA100'!$E$5:$N$193, MATCH($A21, 'NZS O&amp;G and CA100'!$B$5:$B$193, 0),MATCH(I$3, 'NZS O&amp;G and CA100'!$E$3:$N$3, 0)),"")</f>
        <v/>
      </c>
      <c r="J21" s="311" t="str">
        <f>IF(INDEX('NZS O&amp;G and CA100'!$D$5:$D$193, MATCH($A21, 'NZS O&amp;G and CA100'!$B$5:$B$193, 0)) =$B$4, INDEX('NZS O&amp;G and CA100'!$E$5:$N$193, MATCH($A21, 'NZS O&amp;G and CA100'!$B$5:$B$193, 0),MATCH(J$3, 'NZS O&amp;G and CA100'!$E$3:$N$3, 0)),"")</f>
        <v/>
      </c>
      <c r="K21" s="311" t="str">
        <f>IF(INDEX('NZS O&amp;G and CA100'!$D$5:$D$193, MATCH($A21, 'NZS O&amp;G and CA100'!$B$5:$B$193, 0)) =$B$4, INDEX('NZS O&amp;G and CA100'!$E$5:$N$193, MATCH($A21, 'NZS O&amp;G and CA100'!$B$5:$B$193, 0),MATCH(K$3, 'NZS O&amp;G and CA100'!$E$3:$N$3, 0)),"")</f>
        <v/>
      </c>
      <c r="L21" s="311" t="str">
        <f>IF(INDEX('NZS O&amp;G and CA100'!$D$5:$D$193, MATCH($A21, 'NZS O&amp;G and CA100'!$B$5:$B$193, 0)) =$B$4, INDEX('NZS O&amp;G and CA100'!$E$5:$N$193, MATCH($A21, 'NZS O&amp;G and CA100'!$B$5:$B$193, 0),MATCH(L$3, 'NZS O&amp;G and CA100'!$E$3:$N$3, 0)),"")</f>
        <v/>
      </c>
      <c r="M21" s="312" t="str">
        <f>IF(INDEX('NZS O&amp;G and CA100'!$D$5:$D$193, MATCH($A21, 'NZS O&amp;G and CA100'!$B$5:$B$193, 0)) =$B$4, INDEX('NZS O&amp;G and CA100'!$E$5:$N$193, MATCH($A21, 'NZS O&amp;G and CA100'!$B$5:$B$193, 0),MATCH(M$3, 'NZS O&amp;G and CA100'!$E$3:$N$3, 0)),"")</f>
        <v/>
      </c>
      <c r="O21" s="185" t="str">
        <f>IF(INDEX('NZS O&amp;G and CA100'!$D$5:$D$193, MATCH($A21, 'NZS O&amp;G and CA100'!$B$5:$B$193, 0)) = "Alignment", INDEX('NZS O&amp;G and CA100'!$E$5:$N$193, MATCH($A21, 'NZS O&amp;G and CA100'!$B$5:$B$193, 0),MATCH(O$4, 'NZS O&amp;G and CA100'!$E$3:$N$3, 0)),"")</f>
        <v>Under development</v>
      </c>
      <c r="P21" s="186" t="str">
        <f>IF(INDEX('NZS O&amp;G and CA100'!$D$5:$D$193, MATCH($A21, 'NZS O&amp;G and CA100'!$B$5:$B$193, 0)) = "Alignment", INDEX('NZS O&amp;G and CA100'!$E$5:$N$193, MATCH($A21, 'NZS O&amp;G and CA100'!$B$5:$B$193, 0),MATCH(P$4, 'NZS O&amp;G and CA100'!$E$3:$N$3, 0)),"")</f>
        <v>Under development</v>
      </c>
      <c r="Q21" s="186" t="str">
        <f>IF(INDEX('NZS O&amp;G and CA100'!$D$5:$D$193, MATCH($A21, 'NZS O&amp;G and CA100'!$B$5:$B$193, 0)) = "Alignment", INDEX('NZS O&amp;G and CA100'!$E$5:$N$193, MATCH($A21, 'NZS O&amp;G and CA100'!$B$5:$B$193, 0),MATCH(Q$4, 'NZS O&amp;G and CA100'!$E$3:$N$3, 0)),"")</f>
        <v>Under development</v>
      </c>
      <c r="R21" s="186" t="str">
        <f>IF(INDEX('NZS O&amp;G and CA100'!$D$5:$D$193, MATCH($A21, 'NZS O&amp;G and CA100'!$B$5:$B$193, 0)) = "Alignment", INDEX('NZS O&amp;G and CA100'!$E$5:$N$193, MATCH($A21, 'NZS O&amp;G and CA100'!$B$5:$B$193, 0),MATCH(R$4, 'NZS O&amp;G and CA100'!$E$3:$N$3, 0)),"")</f>
        <v>Under development</v>
      </c>
      <c r="S21" s="186" t="str">
        <f>IF(INDEX('NZS O&amp;G and CA100'!$D$5:$D$193, MATCH($A21, 'NZS O&amp;G and CA100'!$B$5:$B$193, 0)) = "Alignment", INDEX('NZS O&amp;G and CA100'!$E$5:$N$193, MATCH($A21, 'NZS O&amp;G and CA100'!$B$5:$B$193, 0),MATCH(S$4, 'NZS O&amp;G and CA100'!$E$3:$N$3, 0)),"")</f>
        <v>Under development</v>
      </c>
      <c r="T21" s="186" t="str">
        <f>IF(INDEX('NZS O&amp;G and CA100'!$D$5:$D$193, MATCH($A21, 'NZS O&amp;G and CA100'!$B$5:$B$193, 0)) = "Alignment", INDEX('NZS O&amp;G and CA100'!$E$5:$N$193, MATCH($A21, 'NZS O&amp;G and CA100'!$B$5:$B$193, 0),MATCH(T$4, 'NZS O&amp;G and CA100'!$E$3:$N$3, 0)),"")</f>
        <v>Under development</v>
      </c>
      <c r="U21" s="186" t="str">
        <f>IF(INDEX('NZS O&amp;G and CA100'!$D$5:$D$193, MATCH($A21, 'NZS O&amp;G and CA100'!$B$5:$B$193, 0)) = "Alignment", INDEX('NZS O&amp;G and CA100'!$E$5:$N$193, MATCH($A21, 'NZS O&amp;G and CA100'!$B$5:$B$193, 0),MATCH(U$4, 'NZS O&amp;G and CA100'!$E$3:$N$3, 0)),"")</f>
        <v>Under development</v>
      </c>
      <c r="V21" s="186" t="str">
        <f>IF(INDEX('NZS O&amp;G and CA100'!$D$5:$D$193, MATCH($A21, 'NZS O&amp;G and CA100'!$B$5:$B$193, 0)) = "Alignment", INDEX('NZS O&amp;G and CA100'!$E$5:$N$193, MATCH($A21, 'NZS O&amp;G and CA100'!$B$5:$B$193, 0),MATCH(V$4, 'NZS O&amp;G and CA100'!$E$3:$N$3, 0)),"")</f>
        <v>Under development</v>
      </c>
      <c r="W21" s="186" t="str">
        <f>IF(INDEX('NZS O&amp;G and CA100'!$D$5:$D$193, MATCH($A21, 'NZS O&amp;G and CA100'!$B$5:$B$193, 0)) = "Alignment", INDEX('NZS O&amp;G and CA100'!$E$5:$N$193, MATCH($A21, 'NZS O&amp;G and CA100'!$B$5:$B$193, 0),MATCH(L$3, 'NZS O&amp;G and CA100'!$E$3:$N$3, 0)),"")</f>
        <v>Under development</v>
      </c>
      <c r="X21" s="187" t="str">
        <f>IF(INDEX('NZS O&amp;G and CA100'!$D$5:$D$193, MATCH($A21, 'NZS O&amp;G and CA100'!$B$5:$B$193, 0)) = "Alignment", INDEX('NZS O&amp;G and CA100'!$E$5:$N$193, MATCH($A21, 'NZS O&amp;G and CA100'!$B$5:$B$193, 0),MATCH(M$3, 'NZS O&amp;G and CA100'!$E$3:$N$3, 0)),"")</f>
        <v>Under development</v>
      </c>
      <c r="Z21" s="55"/>
      <c r="AA21" s="56"/>
      <c r="AB21" s="56"/>
      <c r="AC21" s="56"/>
      <c r="AD21" s="56"/>
      <c r="AE21" s="56"/>
      <c r="AF21" s="56"/>
      <c r="AG21" s="56"/>
      <c r="AH21" s="56"/>
      <c r="AI21" s="57"/>
      <c r="AK21" s="49"/>
      <c r="AL21" s="49"/>
      <c r="AM21" s="49"/>
      <c r="AN21" s="49"/>
      <c r="AO21" s="49"/>
    </row>
    <row r="22" spans="1:41" s="1" customFormat="1" ht="20.149999999999999" customHeight="1" outlineLevel="2">
      <c r="A22" s="302" t="s">
        <v>272</v>
      </c>
      <c r="B22" s="228" t="s">
        <v>273</v>
      </c>
      <c r="C22" s="227" t="str">
        <f>VLOOKUP(A22, 'NZS O&amp;G and CA100'!$B$7:$D$194, 3, FALSE)</f>
        <v>Disclosure</v>
      </c>
      <c r="D22" s="310">
        <f>IF(INDEX('NZS O&amp;G and CA100'!$D$5:$D$193, MATCH($A22, 'NZS O&amp;G and CA100'!$B$5:$B$193, 0)) =$B$4, INDEX('NZS O&amp;G and CA100'!$E$5:$N$193, MATCH($A22, 'NZS O&amp;G and CA100'!$B$5:$B$193, 0),MATCH(D$3, 'NZS O&amp;G and CA100'!$E$3:$N$3, 0)),"")</f>
        <v>1</v>
      </c>
      <c r="E22" s="311">
        <f>IF(INDEX('NZS O&amp;G and CA100'!$D$5:$D$193, MATCH($A22, 'NZS O&amp;G and CA100'!$B$5:$B$193, 0)) =$B$4, INDEX('NZS O&amp;G and CA100'!$E$5:$N$193, MATCH($A22, 'NZS O&amp;G and CA100'!$B$5:$B$193, 0),MATCH(E$3, 'NZS O&amp;G and CA100'!$E$3:$N$3, 0)),"")</f>
        <v>0</v>
      </c>
      <c r="F22" s="311">
        <f>IF(INDEX('NZS O&amp;G and CA100'!$D$5:$D$193, MATCH($A22, 'NZS O&amp;G and CA100'!$B$5:$B$193, 0)) =$B$4, INDEX('NZS O&amp;G and CA100'!$E$5:$N$193, MATCH($A22, 'NZS O&amp;G and CA100'!$B$5:$B$193, 0),MATCH(F$3, 'NZS O&amp;G and CA100'!$E$3:$N$3, 0)),"")</f>
        <v>0</v>
      </c>
      <c r="G22" s="311">
        <f>IF(INDEX('NZS O&amp;G and CA100'!$D$5:$D$193, MATCH($A22, 'NZS O&amp;G and CA100'!$B$5:$B$193, 0)) =$B$4, INDEX('NZS O&amp;G and CA100'!$E$5:$N$193, MATCH($A22, 'NZS O&amp;G and CA100'!$B$5:$B$193, 0),MATCH(G$3, 'NZS O&amp;G and CA100'!$E$3:$N$3, 0)),"")</f>
        <v>1</v>
      </c>
      <c r="H22" s="311">
        <f>IF(INDEX('NZS O&amp;G and CA100'!$D$5:$D$193, MATCH($A22, 'NZS O&amp;G and CA100'!$B$5:$B$193, 0)) =$B$4, INDEX('NZS O&amp;G and CA100'!$E$5:$N$193, MATCH($A22, 'NZS O&amp;G and CA100'!$B$5:$B$193, 0),MATCH(H$3, 'NZS O&amp;G and CA100'!$E$3:$N$3, 0)),"")</f>
        <v>0</v>
      </c>
      <c r="I22" s="311">
        <f>IF(INDEX('NZS O&amp;G and CA100'!$D$5:$D$193, MATCH($A22, 'NZS O&amp;G and CA100'!$B$5:$B$193, 0)) =$B$4, INDEX('NZS O&amp;G and CA100'!$E$5:$N$193, MATCH($A22, 'NZS O&amp;G and CA100'!$B$5:$B$193, 0),MATCH(I$3, 'NZS O&amp;G and CA100'!$E$3:$N$3, 0)),"")</f>
        <v>1</v>
      </c>
      <c r="J22" s="311">
        <f>IF(INDEX('NZS O&amp;G and CA100'!$D$5:$D$193, MATCH($A22, 'NZS O&amp;G and CA100'!$B$5:$B$193, 0)) =$B$4, INDEX('NZS O&amp;G and CA100'!$E$5:$N$193, MATCH($A22, 'NZS O&amp;G and CA100'!$B$5:$B$193, 0),MATCH(J$3, 'NZS O&amp;G and CA100'!$E$3:$N$3, 0)),"")</f>
        <v>0</v>
      </c>
      <c r="K22" s="311">
        <f>IF(INDEX('NZS O&amp;G and CA100'!$D$5:$D$193, MATCH($A22, 'NZS O&amp;G and CA100'!$B$5:$B$193, 0)) =$B$4, INDEX('NZS O&amp;G and CA100'!$E$5:$N$193, MATCH($A22, 'NZS O&amp;G and CA100'!$B$5:$B$193, 0),MATCH(K$3, 'NZS O&amp;G and CA100'!$E$3:$N$3, 0)),"")</f>
        <v>1</v>
      </c>
      <c r="L22" s="311">
        <f>IF(INDEX('NZS O&amp;G and CA100'!$D$5:$D$193, MATCH($A22, 'NZS O&amp;G and CA100'!$B$5:$B$193, 0)) =$B$4, INDEX('NZS O&amp;G and CA100'!$E$5:$N$193, MATCH($A22, 'NZS O&amp;G and CA100'!$B$5:$B$193, 0),MATCH(L$3, 'NZS O&amp;G and CA100'!$E$3:$N$3, 0)),"")</f>
        <v>0</v>
      </c>
      <c r="M22" s="312">
        <f>IF(INDEX('NZS O&amp;G and CA100'!$D$5:$D$193, MATCH($A22, 'NZS O&amp;G and CA100'!$B$5:$B$193, 0)) =$B$4, INDEX('NZS O&amp;G and CA100'!$E$5:$N$193, MATCH($A22, 'NZS O&amp;G and CA100'!$B$5:$B$193, 0),MATCH(M$3, 'NZS O&amp;G and CA100'!$E$3:$N$3, 0)),"")</f>
        <v>1</v>
      </c>
      <c r="O22" s="55" t="str">
        <f>IF(INDEX('NZS O&amp;G and CA100'!$D$5:$D$193, MATCH($A22, 'NZS O&amp;G and CA100'!$B$5:$B$193, 0)) = "Alignment", INDEX('NZS O&amp;G and CA100'!$E$5:$N$193, MATCH($A22, 'NZS O&amp;G and CA100'!$B$5:$B$193, 0),MATCH(O$4, 'NZS O&amp;G and CA100'!$E$3:$N$3, 0)),"")</f>
        <v/>
      </c>
      <c r="P22" s="56" t="str">
        <f>IF(INDEX('NZS O&amp;G and CA100'!$D$5:$D$193, MATCH($A22, 'NZS O&amp;G and CA100'!$B$5:$B$193, 0)) = "Alignment", INDEX('NZS O&amp;G and CA100'!$E$5:$N$193, MATCH($A22, 'NZS O&amp;G and CA100'!$B$5:$B$193, 0),MATCH(P$4, 'NZS O&amp;G and CA100'!$E$3:$N$3, 0)),"")</f>
        <v/>
      </c>
      <c r="Q22" s="56" t="str">
        <f>IF(INDEX('NZS O&amp;G and CA100'!$D$5:$D$193, MATCH($A22, 'NZS O&amp;G and CA100'!$B$5:$B$193, 0)) = "Alignment", INDEX('NZS O&amp;G and CA100'!$E$5:$N$193, MATCH($A22, 'NZS O&amp;G and CA100'!$B$5:$B$193, 0),MATCH(Q$4, 'NZS O&amp;G and CA100'!$E$3:$N$3, 0)),"")</f>
        <v/>
      </c>
      <c r="R22" s="56" t="str">
        <f>IF(INDEX('NZS O&amp;G and CA100'!$D$5:$D$193, MATCH($A22, 'NZS O&amp;G and CA100'!$B$5:$B$193, 0)) = "Alignment", INDEX('NZS O&amp;G and CA100'!$E$5:$N$193, MATCH($A22, 'NZS O&amp;G and CA100'!$B$5:$B$193, 0),MATCH(R$4, 'NZS O&amp;G and CA100'!$E$3:$N$3, 0)),"")</f>
        <v/>
      </c>
      <c r="S22" s="56" t="str">
        <f>IF(INDEX('NZS O&amp;G and CA100'!$D$5:$D$193, MATCH($A22, 'NZS O&amp;G and CA100'!$B$5:$B$193, 0)) = "Alignment", INDEX('NZS O&amp;G and CA100'!$E$5:$N$193, MATCH($A22, 'NZS O&amp;G and CA100'!$B$5:$B$193, 0),MATCH(S$4, 'NZS O&amp;G and CA100'!$E$3:$N$3, 0)),"")</f>
        <v/>
      </c>
      <c r="T22" s="56" t="str">
        <f>IF(INDEX('NZS O&amp;G and CA100'!$D$5:$D$193, MATCH($A22, 'NZS O&amp;G and CA100'!$B$5:$B$193, 0)) = "Alignment", INDEX('NZS O&amp;G and CA100'!$E$5:$N$193, MATCH($A22, 'NZS O&amp;G and CA100'!$B$5:$B$193, 0),MATCH(T$4, 'NZS O&amp;G and CA100'!$E$3:$N$3, 0)),"")</f>
        <v/>
      </c>
      <c r="U22" s="56" t="str">
        <f>IF(INDEX('NZS O&amp;G and CA100'!$D$5:$D$193, MATCH($A22, 'NZS O&amp;G and CA100'!$B$5:$B$193, 0)) = "Alignment", INDEX('NZS O&amp;G and CA100'!$E$5:$N$193, MATCH($A22, 'NZS O&amp;G and CA100'!$B$5:$B$193, 0),MATCH(U$4, 'NZS O&amp;G and CA100'!$E$3:$N$3, 0)),"")</f>
        <v/>
      </c>
      <c r="V22" s="56" t="str">
        <f>IF(INDEX('NZS O&amp;G and CA100'!$D$5:$D$193, MATCH($A22, 'NZS O&amp;G and CA100'!$B$5:$B$193, 0)) = "Alignment", INDEX('NZS O&amp;G and CA100'!$E$5:$N$193, MATCH($A22, 'NZS O&amp;G and CA100'!$B$5:$B$193, 0),MATCH(V$4, 'NZS O&amp;G and CA100'!$E$3:$N$3, 0)),"")</f>
        <v/>
      </c>
      <c r="W22" s="56" t="str">
        <f>IF(INDEX('NZS O&amp;G and CA100'!$D$5:$D$193, MATCH($A22, 'NZS O&amp;G and CA100'!$B$5:$B$193, 0)) = "Alignment", INDEX('NZS O&amp;G and CA100'!$E$5:$N$193, MATCH($A22, 'NZS O&amp;G and CA100'!$B$5:$B$193, 0),MATCH(L$3, 'NZS O&amp;G and CA100'!$E$3:$N$3, 0)),"")</f>
        <v/>
      </c>
      <c r="X22" s="57" t="str">
        <f>IF(INDEX('NZS O&amp;G and CA100'!$D$5:$D$193, MATCH($A22, 'NZS O&amp;G and CA100'!$B$5:$B$193, 0)) = "Alignment", INDEX('NZS O&amp;G and CA100'!$E$5:$N$193, MATCH($A22, 'NZS O&amp;G and CA100'!$B$5:$B$193, 0),MATCH(M$3, 'NZS O&amp;G and CA100'!$E$3:$N$3, 0)),"")</f>
        <v/>
      </c>
      <c r="Z22" s="55"/>
      <c r="AA22" s="56"/>
      <c r="AB22" s="56"/>
      <c r="AC22" s="56"/>
      <c r="AD22" s="56"/>
      <c r="AE22" s="56"/>
      <c r="AF22" s="56"/>
      <c r="AG22" s="56"/>
      <c r="AH22" s="56"/>
      <c r="AI22" s="57"/>
      <c r="AK22" s="49"/>
      <c r="AL22" s="49"/>
      <c r="AM22" s="49"/>
      <c r="AN22" s="49"/>
      <c r="AO22" s="49"/>
    </row>
    <row r="23" spans="1:41" s="1" customFormat="1" ht="20.149999999999999" customHeight="1" outlineLevel="2">
      <c r="A23" s="302" t="s">
        <v>274</v>
      </c>
      <c r="B23" s="235" t="s">
        <v>78</v>
      </c>
      <c r="C23" s="236" t="str">
        <f>VLOOKUP(A23, 'NZS O&amp;G and CA100'!$B$7:$D$194, 3, FALSE)</f>
        <v>Disclosure</v>
      </c>
      <c r="D23" s="310">
        <f>IF(INDEX('NZS O&amp;G and CA100'!$D$5:$D$193, MATCH($A23, 'NZS O&amp;G and CA100'!$B$5:$B$193, 0)) =$B$4, INDEX('NZS O&amp;G and CA100'!$E$5:$N$193, MATCH($A23, 'NZS O&amp;G and CA100'!$B$5:$B$193, 0),MATCH(D$3, 'NZS O&amp;G and CA100'!$E$3:$N$3, 0)),"")</f>
        <v>1</v>
      </c>
      <c r="E23" s="311">
        <f>IF(INDEX('NZS O&amp;G and CA100'!$D$5:$D$193, MATCH($A23, 'NZS O&amp;G and CA100'!$B$5:$B$193, 0)) =$B$4, INDEX('NZS O&amp;G and CA100'!$E$5:$N$193, MATCH($A23, 'NZS O&amp;G and CA100'!$B$5:$B$193, 0),MATCH(E$3, 'NZS O&amp;G and CA100'!$E$3:$N$3, 0)),"")</f>
        <v>0</v>
      </c>
      <c r="F23" s="311" t="str">
        <f>IF(INDEX('NZS O&amp;G and CA100'!$D$5:$D$193, MATCH($A23, 'NZS O&amp;G and CA100'!$B$5:$B$193, 0)) =$B$4, INDEX('NZS O&amp;G and CA100'!$E$5:$N$193, MATCH($A23, 'NZS O&amp;G and CA100'!$B$5:$B$193, 0),MATCH(F$3, 'NZS O&amp;G and CA100'!$E$3:$N$3, 0)),"")</f>
        <v>Not Applicable</v>
      </c>
      <c r="G23" s="311">
        <f>IF(INDEX('NZS O&amp;G and CA100'!$D$5:$D$193, MATCH($A23, 'NZS O&amp;G and CA100'!$B$5:$B$193, 0)) =$B$4, INDEX('NZS O&amp;G and CA100'!$E$5:$N$193, MATCH($A23, 'NZS O&amp;G and CA100'!$B$5:$B$193, 0),MATCH(G$3, 'NZS O&amp;G and CA100'!$E$3:$N$3, 0)),"")</f>
        <v>0</v>
      </c>
      <c r="H23" s="311">
        <f>IF(INDEX('NZS O&amp;G and CA100'!$D$5:$D$193, MATCH($A23, 'NZS O&amp;G and CA100'!$B$5:$B$193, 0)) =$B$4, INDEX('NZS O&amp;G and CA100'!$E$5:$N$193, MATCH($A23, 'NZS O&amp;G and CA100'!$B$5:$B$193, 0),MATCH(H$3, 'NZS O&amp;G and CA100'!$E$3:$N$3, 0)),"")</f>
        <v>0</v>
      </c>
      <c r="I23" s="311" t="str">
        <f>IF(INDEX('NZS O&amp;G and CA100'!$D$5:$D$193, MATCH($A23, 'NZS O&amp;G and CA100'!$B$5:$B$193, 0)) =$B$4, INDEX('NZS O&amp;G and CA100'!$E$5:$N$193, MATCH($A23, 'NZS O&amp;G and CA100'!$B$5:$B$193, 0),MATCH(I$3, 'NZS O&amp;G and CA100'!$E$3:$N$3, 0)),"")</f>
        <v>Not Applicable</v>
      </c>
      <c r="J23" s="311">
        <f>IF(INDEX('NZS O&amp;G and CA100'!$D$5:$D$193, MATCH($A23, 'NZS O&amp;G and CA100'!$B$5:$B$193, 0)) =$B$4, INDEX('NZS O&amp;G and CA100'!$E$5:$N$193, MATCH($A23, 'NZS O&amp;G and CA100'!$B$5:$B$193, 0),MATCH(J$3, 'NZS O&amp;G and CA100'!$E$3:$N$3, 0)),"")</f>
        <v>0</v>
      </c>
      <c r="K23" s="311">
        <f>IF(INDEX('NZS O&amp;G and CA100'!$D$5:$D$193, MATCH($A23, 'NZS O&amp;G and CA100'!$B$5:$B$193, 0)) =$B$4, INDEX('NZS O&amp;G and CA100'!$E$5:$N$193, MATCH($A23, 'NZS O&amp;G and CA100'!$B$5:$B$193, 0),MATCH(K$3, 'NZS O&amp;G and CA100'!$E$3:$N$3, 0)),"")</f>
        <v>0</v>
      </c>
      <c r="L23" s="311" t="str">
        <f>IF(INDEX('NZS O&amp;G and CA100'!$D$5:$D$193, MATCH($A23, 'NZS O&amp;G and CA100'!$B$5:$B$193, 0)) =$B$4, INDEX('NZS O&amp;G and CA100'!$E$5:$N$193, MATCH($A23, 'NZS O&amp;G and CA100'!$B$5:$B$193, 0),MATCH(L$3, 'NZS O&amp;G and CA100'!$E$3:$N$3, 0)),"")</f>
        <v>Not Applicable</v>
      </c>
      <c r="M23" s="312">
        <f>IF(INDEX('NZS O&amp;G and CA100'!$D$5:$D$193, MATCH($A23, 'NZS O&amp;G and CA100'!$B$5:$B$193, 0)) =$B$4, INDEX('NZS O&amp;G and CA100'!$E$5:$N$193, MATCH($A23, 'NZS O&amp;G and CA100'!$B$5:$B$193, 0),MATCH(M$3, 'NZS O&amp;G and CA100'!$E$3:$N$3, 0)),"")</f>
        <v>0</v>
      </c>
      <c r="O23" s="55" t="str">
        <f>IF(INDEX('NZS O&amp;G and CA100'!$D$5:$D$193, MATCH($A23, 'NZS O&amp;G and CA100'!$B$5:$B$193, 0)) = "Alignment", INDEX('NZS O&amp;G and CA100'!$E$5:$N$193, MATCH($A23, 'NZS O&amp;G and CA100'!$B$5:$B$193, 0),MATCH(O$4, 'NZS O&amp;G and CA100'!$E$3:$N$3, 0)),"")</f>
        <v/>
      </c>
      <c r="P23" s="56" t="str">
        <f>IF(INDEX('NZS O&amp;G and CA100'!$D$5:$D$193, MATCH($A23, 'NZS O&amp;G and CA100'!$B$5:$B$193, 0)) = "Alignment", INDEX('NZS O&amp;G and CA100'!$E$5:$N$193, MATCH($A23, 'NZS O&amp;G and CA100'!$B$5:$B$193, 0),MATCH(P$4, 'NZS O&amp;G and CA100'!$E$3:$N$3, 0)),"")</f>
        <v/>
      </c>
      <c r="Q23" s="56" t="str">
        <f>IF(INDEX('NZS O&amp;G and CA100'!$D$5:$D$193, MATCH($A23, 'NZS O&amp;G and CA100'!$B$5:$B$193, 0)) = "Alignment", INDEX('NZS O&amp;G and CA100'!$E$5:$N$193, MATCH($A23, 'NZS O&amp;G and CA100'!$B$5:$B$193, 0),MATCH(Q$4, 'NZS O&amp;G and CA100'!$E$3:$N$3, 0)),"")</f>
        <v/>
      </c>
      <c r="R23" s="56" t="str">
        <f>IF(INDEX('NZS O&amp;G and CA100'!$D$5:$D$193, MATCH($A23, 'NZS O&amp;G and CA100'!$B$5:$B$193, 0)) = "Alignment", INDEX('NZS O&amp;G and CA100'!$E$5:$N$193, MATCH($A23, 'NZS O&amp;G and CA100'!$B$5:$B$193, 0),MATCH(R$4, 'NZS O&amp;G and CA100'!$E$3:$N$3, 0)),"")</f>
        <v/>
      </c>
      <c r="S23" s="56" t="str">
        <f>IF(INDEX('NZS O&amp;G and CA100'!$D$5:$D$193, MATCH($A23, 'NZS O&amp;G and CA100'!$B$5:$B$193, 0)) = "Alignment", INDEX('NZS O&amp;G and CA100'!$E$5:$N$193, MATCH($A23, 'NZS O&amp;G and CA100'!$B$5:$B$193, 0),MATCH(S$4, 'NZS O&amp;G and CA100'!$E$3:$N$3, 0)),"")</f>
        <v/>
      </c>
      <c r="T23" s="56" t="str">
        <f>IF(INDEX('NZS O&amp;G and CA100'!$D$5:$D$193, MATCH($A23, 'NZS O&amp;G and CA100'!$B$5:$B$193, 0)) = "Alignment", INDEX('NZS O&amp;G and CA100'!$E$5:$N$193, MATCH($A23, 'NZS O&amp;G and CA100'!$B$5:$B$193, 0),MATCH(T$4, 'NZS O&amp;G and CA100'!$E$3:$N$3, 0)),"")</f>
        <v/>
      </c>
      <c r="U23" s="56" t="str">
        <f>IF(INDEX('NZS O&amp;G and CA100'!$D$5:$D$193, MATCH($A23, 'NZS O&amp;G and CA100'!$B$5:$B$193, 0)) = "Alignment", INDEX('NZS O&amp;G and CA100'!$E$5:$N$193, MATCH($A23, 'NZS O&amp;G and CA100'!$B$5:$B$193, 0),MATCH(U$4, 'NZS O&amp;G and CA100'!$E$3:$N$3, 0)),"")</f>
        <v/>
      </c>
      <c r="V23" s="56" t="str">
        <f>IF(INDEX('NZS O&amp;G and CA100'!$D$5:$D$193, MATCH($A23, 'NZS O&amp;G and CA100'!$B$5:$B$193, 0)) = "Alignment", INDEX('NZS O&amp;G and CA100'!$E$5:$N$193, MATCH($A23, 'NZS O&amp;G and CA100'!$B$5:$B$193, 0),MATCH(V$4, 'NZS O&amp;G and CA100'!$E$3:$N$3, 0)),"")</f>
        <v/>
      </c>
      <c r="W23" s="56" t="str">
        <f>IF(INDEX('NZS O&amp;G and CA100'!$D$5:$D$193, MATCH($A23, 'NZS O&amp;G and CA100'!$B$5:$B$193, 0)) = "Alignment", INDEX('NZS O&amp;G and CA100'!$E$5:$N$193, MATCH($A23, 'NZS O&amp;G and CA100'!$B$5:$B$193, 0),MATCH(L$3, 'NZS O&amp;G and CA100'!$E$3:$N$3, 0)),"")</f>
        <v/>
      </c>
      <c r="X23" s="57" t="str">
        <f>IF(INDEX('NZS O&amp;G and CA100'!$D$5:$D$193, MATCH($A23, 'NZS O&amp;G and CA100'!$B$5:$B$193, 0)) = "Alignment", INDEX('NZS O&amp;G and CA100'!$E$5:$N$193, MATCH($A23, 'NZS O&amp;G and CA100'!$B$5:$B$193, 0),MATCH(M$3, 'NZS O&amp;G and CA100'!$E$3:$N$3, 0)),"")</f>
        <v/>
      </c>
      <c r="Z23" s="55"/>
      <c r="AA23" s="56"/>
      <c r="AB23" s="56"/>
      <c r="AC23" s="56"/>
      <c r="AD23" s="56"/>
      <c r="AE23" s="56"/>
      <c r="AF23" s="56"/>
      <c r="AG23" s="56"/>
      <c r="AH23" s="56"/>
      <c r="AI23" s="57"/>
      <c r="AK23" s="49"/>
      <c r="AL23" s="49"/>
      <c r="AM23" s="49"/>
      <c r="AN23" s="49"/>
      <c r="AO23" s="49"/>
    </row>
    <row r="24" spans="1:41" s="1" customFormat="1" ht="20.149999999999999" customHeight="1" outlineLevel="2">
      <c r="A24" s="302" t="s">
        <v>275</v>
      </c>
      <c r="B24" s="235" t="s">
        <v>79</v>
      </c>
      <c r="C24" s="236" t="str">
        <f>VLOOKUP(A24, 'NZS O&amp;G and CA100'!$B$7:$D$194, 3, FALSE)</f>
        <v>Alignment</v>
      </c>
      <c r="D24" s="310" t="str">
        <f>IF(INDEX('NZS O&amp;G and CA100'!$D$5:$D$193, MATCH($A24, 'NZS O&amp;G and CA100'!$B$5:$B$193, 0)) =$B$4, INDEX('NZS O&amp;G and CA100'!$E$5:$N$193, MATCH($A24, 'NZS O&amp;G and CA100'!$B$5:$B$193, 0),MATCH(D$3, 'NZS O&amp;G and CA100'!$E$3:$N$3, 0)),"")</f>
        <v/>
      </c>
      <c r="E24" s="311" t="str">
        <f>IF(INDEX('NZS O&amp;G and CA100'!$D$5:$D$193, MATCH($A24, 'NZS O&amp;G and CA100'!$B$5:$B$193, 0)) =$B$4, INDEX('NZS O&amp;G and CA100'!$E$5:$N$193, MATCH($A24, 'NZS O&amp;G and CA100'!$B$5:$B$193, 0),MATCH(E$3, 'NZS O&amp;G and CA100'!$E$3:$N$3, 0)),"")</f>
        <v/>
      </c>
      <c r="F24" s="311" t="str">
        <f>IF(INDEX('NZS O&amp;G and CA100'!$D$5:$D$193, MATCH($A24, 'NZS O&amp;G and CA100'!$B$5:$B$193, 0)) =$B$4, INDEX('NZS O&amp;G and CA100'!$E$5:$N$193, MATCH($A24, 'NZS O&amp;G and CA100'!$B$5:$B$193, 0),MATCH(F$3, 'NZS O&amp;G and CA100'!$E$3:$N$3, 0)),"")</f>
        <v/>
      </c>
      <c r="G24" s="311" t="str">
        <f>IF(INDEX('NZS O&amp;G and CA100'!$D$5:$D$193, MATCH($A24, 'NZS O&amp;G and CA100'!$B$5:$B$193, 0)) =$B$4, INDEX('NZS O&amp;G and CA100'!$E$5:$N$193, MATCH($A24, 'NZS O&amp;G and CA100'!$B$5:$B$193, 0),MATCH(G$3, 'NZS O&amp;G and CA100'!$E$3:$N$3, 0)),"")</f>
        <v/>
      </c>
      <c r="H24" s="311" t="str">
        <f>IF(INDEX('NZS O&amp;G and CA100'!$D$5:$D$193, MATCH($A24, 'NZS O&amp;G and CA100'!$B$5:$B$193, 0)) =$B$4, INDEX('NZS O&amp;G and CA100'!$E$5:$N$193, MATCH($A24, 'NZS O&amp;G and CA100'!$B$5:$B$193, 0),MATCH(H$3, 'NZS O&amp;G and CA100'!$E$3:$N$3, 0)),"")</f>
        <v/>
      </c>
      <c r="I24" s="311" t="str">
        <f>IF(INDEX('NZS O&amp;G and CA100'!$D$5:$D$193, MATCH($A24, 'NZS O&amp;G and CA100'!$B$5:$B$193, 0)) =$B$4, INDEX('NZS O&amp;G and CA100'!$E$5:$N$193, MATCH($A24, 'NZS O&amp;G and CA100'!$B$5:$B$193, 0),MATCH(I$3, 'NZS O&amp;G and CA100'!$E$3:$N$3, 0)),"")</f>
        <v/>
      </c>
      <c r="J24" s="311" t="str">
        <f>IF(INDEX('NZS O&amp;G and CA100'!$D$5:$D$193, MATCH($A24, 'NZS O&amp;G and CA100'!$B$5:$B$193, 0)) =$B$4, INDEX('NZS O&amp;G and CA100'!$E$5:$N$193, MATCH($A24, 'NZS O&amp;G and CA100'!$B$5:$B$193, 0),MATCH(J$3, 'NZS O&amp;G and CA100'!$E$3:$N$3, 0)),"")</f>
        <v/>
      </c>
      <c r="K24" s="311" t="str">
        <f>IF(INDEX('NZS O&amp;G and CA100'!$D$5:$D$193, MATCH($A24, 'NZS O&amp;G and CA100'!$B$5:$B$193, 0)) =$B$4, INDEX('NZS O&amp;G and CA100'!$E$5:$N$193, MATCH($A24, 'NZS O&amp;G and CA100'!$B$5:$B$193, 0),MATCH(K$3, 'NZS O&amp;G and CA100'!$E$3:$N$3, 0)),"")</f>
        <v/>
      </c>
      <c r="L24" s="311" t="str">
        <f>IF(INDEX('NZS O&amp;G and CA100'!$D$5:$D$193, MATCH($A24, 'NZS O&amp;G and CA100'!$B$5:$B$193, 0)) =$B$4, INDEX('NZS O&amp;G and CA100'!$E$5:$N$193, MATCH($A24, 'NZS O&amp;G and CA100'!$B$5:$B$193, 0),MATCH(L$3, 'NZS O&amp;G and CA100'!$E$3:$N$3, 0)),"")</f>
        <v/>
      </c>
      <c r="M24" s="312" t="str">
        <f>IF(INDEX('NZS O&amp;G and CA100'!$D$5:$D$193, MATCH($A24, 'NZS O&amp;G and CA100'!$B$5:$B$193, 0)) =$B$4, INDEX('NZS O&amp;G and CA100'!$E$5:$N$193, MATCH($A24, 'NZS O&amp;G and CA100'!$B$5:$B$193, 0),MATCH(M$3, 'NZS O&amp;G and CA100'!$E$3:$N$3, 0)),"")</f>
        <v/>
      </c>
      <c r="O24" s="185" t="str">
        <f>IF(INDEX('NZS O&amp;G and CA100'!$D$5:$D$193, MATCH($A24, 'NZS O&amp;G and CA100'!$B$5:$B$193, 0)) = "Alignment", INDEX('NZS O&amp;G and CA100'!$E$5:$N$193, MATCH($A24, 'NZS O&amp;G and CA100'!$B$5:$B$193, 0),MATCH(O$4, 'NZS O&amp;G and CA100'!$E$3:$N$3, 0)),"")</f>
        <v>Under development</v>
      </c>
      <c r="P24" s="186" t="str">
        <f>IF(INDEX('NZS O&amp;G and CA100'!$D$5:$D$193, MATCH($A24, 'NZS O&amp;G and CA100'!$B$5:$B$193, 0)) = "Alignment", INDEX('NZS O&amp;G and CA100'!$E$5:$N$193, MATCH($A24, 'NZS O&amp;G and CA100'!$B$5:$B$193, 0),MATCH(P$4, 'NZS O&amp;G and CA100'!$E$3:$N$3, 0)),"")</f>
        <v>Under development</v>
      </c>
      <c r="Q24" s="186" t="str">
        <f>IF(INDEX('NZS O&amp;G and CA100'!$D$5:$D$193, MATCH($A24, 'NZS O&amp;G and CA100'!$B$5:$B$193, 0)) = "Alignment", INDEX('NZS O&amp;G and CA100'!$E$5:$N$193, MATCH($A24, 'NZS O&amp;G and CA100'!$B$5:$B$193, 0),MATCH(Q$4, 'NZS O&amp;G and CA100'!$E$3:$N$3, 0)),"")</f>
        <v>Under development</v>
      </c>
      <c r="R24" s="186" t="str">
        <f>IF(INDEX('NZS O&amp;G and CA100'!$D$5:$D$193, MATCH($A24, 'NZS O&amp;G and CA100'!$B$5:$B$193, 0)) = "Alignment", INDEX('NZS O&amp;G and CA100'!$E$5:$N$193, MATCH($A24, 'NZS O&amp;G and CA100'!$B$5:$B$193, 0),MATCH(R$4, 'NZS O&amp;G and CA100'!$E$3:$N$3, 0)),"")</f>
        <v>Under development</v>
      </c>
      <c r="S24" s="186" t="str">
        <f>IF(INDEX('NZS O&amp;G and CA100'!$D$5:$D$193, MATCH($A24, 'NZS O&amp;G and CA100'!$B$5:$B$193, 0)) = "Alignment", INDEX('NZS O&amp;G and CA100'!$E$5:$N$193, MATCH($A24, 'NZS O&amp;G and CA100'!$B$5:$B$193, 0),MATCH(S$4, 'NZS O&amp;G and CA100'!$E$3:$N$3, 0)),"")</f>
        <v>Under development</v>
      </c>
      <c r="T24" s="186" t="str">
        <f>IF(INDEX('NZS O&amp;G and CA100'!$D$5:$D$193, MATCH($A24, 'NZS O&amp;G and CA100'!$B$5:$B$193, 0)) = "Alignment", INDEX('NZS O&amp;G and CA100'!$E$5:$N$193, MATCH($A24, 'NZS O&amp;G and CA100'!$B$5:$B$193, 0),MATCH(T$4, 'NZS O&amp;G and CA100'!$E$3:$N$3, 0)),"")</f>
        <v>Under development</v>
      </c>
      <c r="U24" s="186" t="str">
        <f>IF(INDEX('NZS O&amp;G and CA100'!$D$5:$D$193, MATCH($A24, 'NZS O&amp;G and CA100'!$B$5:$B$193, 0)) = "Alignment", INDEX('NZS O&amp;G and CA100'!$E$5:$N$193, MATCH($A24, 'NZS O&amp;G and CA100'!$B$5:$B$193, 0),MATCH(U$4, 'NZS O&amp;G and CA100'!$E$3:$N$3, 0)),"")</f>
        <v>Under development</v>
      </c>
      <c r="V24" s="186" t="str">
        <f>IF(INDEX('NZS O&amp;G and CA100'!$D$5:$D$193, MATCH($A24, 'NZS O&amp;G and CA100'!$B$5:$B$193, 0)) = "Alignment", INDEX('NZS O&amp;G and CA100'!$E$5:$N$193, MATCH($A24, 'NZS O&amp;G and CA100'!$B$5:$B$193, 0),MATCH(V$4, 'NZS O&amp;G and CA100'!$E$3:$N$3, 0)),"")</f>
        <v>Under development</v>
      </c>
      <c r="W24" s="186" t="str">
        <f>IF(INDEX('NZS O&amp;G and CA100'!$D$5:$D$193, MATCH($A24, 'NZS O&amp;G and CA100'!$B$5:$B$193, 0)) = "Alignment", INDEX('NZS O&amp;G and CA100'!$E$5:$N$193, MATCH($A24, 'NZS O&amp;G and CA100'!$B$5:$B$193, 0),MATCH(L$3, 'NZS O&amp;G and CA100'!$E$3:$N$3, 0)),"")</f>
        <v>Under development</v>
      </c>
      <c r="X24" s="187" t="str">
        <f>IF(INDEX('NZS O&amp;G and CA100'!$D$5:$D$193, MATCH($A24, 'NZS O&amp;G and CA100'!$B$5:$B$193, 0)) = "Alignment", INDEX('NZS O&amp;G and CA100'!$E$5:$N$193, MATCH($A24, 'NZS O&amp;G and CA100'!$B$5:$B$193, 0),MATCH(M$3, 'NZS O&amp;G and CA100'!$E$3:$N$3, 0)),"")</f>
        <v>Under development</v>
      </c>
      <c r="Z24" s="55"/>
      <c r="AA24" s="56"/>
      <c r="AB24" s="56"/>
      <c r="AC24" s="56"/>
      <c r="AD24" s="56"/>
      <c r="AE24" s="56"/>
      <c r="AF24" s="56"/>
      <c r="AG24" s="56"/>
      <c r="AH24" s="56"/>
      <c r="AI24" s="57"/>
      <c r="AK24" s="49"/>
      <c r="AL24" s="49"/>
      <c r="AM24" s="49"/>
      <c r="AN24" s="49"/>
      <c r="AO24" s="49"/>
    </row>
    <row r="25" spans="1:41" s="1" customFormat="1" ht="20.149999999999999" customHeight="1" outlineLevel="1">
      <c r="A25" s="302">
        <v>2.2999999999999998</v>
      </c>
      <c r="B25" s="226" t="s">
        <v>276</v>
      </c>
      <c r="C25" s="227" t="str">
        <f>VLOOKUP(A25, 'NZS O&amp;G and CA100'!$B$7:$D$194, 3, FALSE)</f>
        <v>Alignment</v>
      </c>
      <c r="D25" s="310" t="str">
        <f>IF(INDEX('NZS O&amp;G and CA100'!$D$5:$D$193, MATCH($A25, 'NZS O&amp;G and CA100'!$B$5:$B$193, 0)) =$B$4, INDEX('NZS O&amp;G and CA100'!$E$5:$N$193, MATCH($A25, 'NZS O&amp;G and CA100'!$B$5:$B$193, 0),MATCH(D$3, 'NZS O&amp;G and CA100'!$E$3:$N$3, 0)),"")</f>
        <v/>
      </c>
      <c r="E25" s="311" t="str">
        <f>IF(INDEX('NZS O&amp;G and CA100'!$D$5:$D$193, MATCH($A25, 'NZS O&amp;G and CA100'!$B$5:$B$193, 0)) =$B$4, INDEX('NZS O&amp;G and CA100'!$E$5:$N$193, MATCH($A25, 'NZS O&amp;G and CA100'!$B$5:$B$193, 0),MATCH(E$3, 'NZS O&amp;G and CA100'!$E$3:$N$3, 0)),"")</f>
        <v/>
      </c>
      <c r="F25" s="311" t="str">
        <f>IF(INDEX('NZS O&amp;G and CA100'!$D$5:$D$193, MATCH($A25, 'NZS O&amp;G and CA100'!$B$5:$B$193, 0)) =$B$4, INDEX('NZS O&amp;G and CA100'!$E$5:$N$193, MATCH($A25, 'NZS O&amp;G and CA100'!$B$5:$B$193, 0),MATCH(F$3, 'NZS O&amp;G and CA100'!$E$3:$N$3, 0)),"")</f>
        <v/>
      </c>
      <c r="G25" s="311" t="str">
        <f>IF(INDEX('NZS O&amp;G and CA100'!$D$5:$D$193, MATCH($A25, 'NZS O&amp;G and CA100'!$B$5:$B$193, 0)) =$B$4, INDEX('NZS O&amp;G and CA100'!$E$5:$N$193, MATCH($A25, 'NZS O&amp;G and CA100'!$B$5:$B$193, 0),MATCH(G$3, 'NZS O&amp;G and CA100'!$E$3:$N$3, 0)),"")</f>
        <v/>
      </c>
      <c r="H25" s="311" t="str">
        <f>IF(INDEX('NZS O&amp;G and CA100'!$D$5:$D$193, MATCH($A25, 'NZS O&amp;G and CA100'!$B$5:$B$193, 0)) =$B$4, INDEX('NZS O&amp;G and CA100'!$E$5:$N$193, MATCH($A25, 'NZS O&amp;G and CA100'!$B$5:$B$193, 0),MATCH(H$3, 'NZS O&amp;G and CA100'!$E$3:$N$3, 0)),"")</f>
        <v/>
      </c>
      <c r="I25" s="311" t="str">
        <f>IF(INDEX('NZS O&amp;G and CA100'!$D$5:$D$193, MATCH($A25, 'NZS O&amp;G and CA100'!$B$5:$B$193, 0)) =$B$4, INDEX('NZS O&amp;G and CA100'!$E$5:$N$193, MATCH($A25, 'NZS O&amp;G and CA100'!$B$5:$B$193, 0),MATCH(I$3, 'NZS O&amp;G and CA100'!$E$3:$N$3, 0)),"")</f>
        <v/>
      </c>
      <c r="J25" s="311" t="str">
        <f>IF(INDEX('NZS O&amp;G and CA100'!$D$5:$D$193, MATCH($A25, 'NZS O&amp;G and CA100'!$B$5:$B$193, 0)) =$B$4, INDEX('NZS O&amp;G and CA100'!$E$5:$N$193, MATCH($A25, 'NZS O&amp;G and CA100'!$B$5:$B$193, 0),MATCH(J$3, 'NZS O&amp;G and CA100'!$E$3:$N$3, 0)),"")</f>
        <v/>
      </c>
      <c r="K25" s="311" t="str">
        <f>IF(INDEX('NZS O&amp;G and CA100'!$D$5:$D$193, MATCH($A25, 'NZS O&amp;G and CA100'!$B$5:$B$193, 0)) =$B$4, INDEX('NZS O&amp;G and CA100'!$E$5:$N$193, MATCH($A25, 'NZS O&amp;G and CA100'!$B$5:$B$193, 0),MATCH(K$3, 'NZS O&amp;G and CA100'!$E$3:$N$3, 0)),"")</f>
        <v/>
      </c>
      <c r="L25" s="311" t="str">
        <f>IF(INDEX('NZS O&amp;G and CA100'!$D$5:$D$193, MATCH($A25, 'NZS O&amp;G and CA100'!$B$5:$B$193, 0)) =$B$4, INDEX('NZS O&amp;G and CA100'!$E$5:$N$193, MATCH($A25, 'NZS O&amp;G and CA100'!$B$5:$B$193, 0),MATCH(L$3, 'NZS O&amp;G and CA100'!$E$3:$N$3, 0)),"")</f>
        <v/>
      </c>
      <c r="M25" s="312" t="str">
        <f>IF(INDEX('NZS O&amp;G and CA100'!$D$5:$D$193, MATCH($A25, 'NZS O&amp;G and CA100'!$B$5:$B$193, 0)) =$B$4, INDEX('NZS O&amp;G and CA100'!$E$5:$N$193, MATCH($A25, 'NZS O&amp;G and CA100'!$B$5:$B$193, 0),MATCH(M$3, 'NZS O&amp;G and CA100'!$E$3:$N$3, 0)),"")</f>
        <v/>
      </c>
      <c r="O25" s="55">
        <f>IF(INDEX('NZS O&amp;G and CA100'!$D$5:$D$193, MATCH($A25, 'NZS O&amp;G and CA100'!$B$5:$B$193, 0)) = "Alignment", INDEX('NZS O&amp;G and CA100'!$E$5:$N$193, MATCH($A25, 'NZS O&amp;G and CA100'!$B$5:$B$193, 0),MATCH(O$4, 'NZS O&amp;G and CA100'!$E$3:$N$3, 0)),"")</f>
        <v>1</v>
      </c>
      <c r="P25" s="56">
        <f>IF(INDEX('NZS O&amp;G and CA100'!$D$5:$D$193, MATCH($A25, 'NZS O&amp;G and CA100'!$B$5:$B$193, 0)) = "Alignment", INDEX('NZS O&amp;G and CA100'!$E$5:$N$193, MATCH($A25, 'NZS O&amp;G and CA100'!$B$5:$B$193, 0),MATCH(P$4, 'NZS O&amp;G and CA100'!$E$3:$N$3, 0)),"")</f>
        <v>0</v>
      </c>
      <c r="Q25" s="56">
        <f>IF(INDEX('NZS O&amp;G and CA100'!$D$5:$D$193, MATCH($A25, 'NZS O&amp;G and CA100'!$B$5:$B$193, 0)) = "Alignment", INDEX('NZS O&amp;G and CA100'!$E$5:$N$193, MATCH($A25, 'NZS O&amp;G and CA100'!$B$5:$B$193, 0),MATCH(Q$4, 'NZS O&amp;G and CA100'!$E$3:$N$3, 0)),"")</f>
        <v>0</v>
      </c>
      <c r="R25" s="56">
        <f>IF(INDEX('NZS O&amp;G and CA100'!$D$5:$D$193, MATCH($A25, 'NZS O&amp;G and CA100'!$B$5:$B$193, 0)) = "Alignment", INDEX('NZS O&amp;G and CA100'!$E$5:$N$193, MATCH($A25, 'NZS O&amp;G and CA100'!$B$5:$B$193, 0),MATCH(R$4, 'NZS O&amp;G and CA100'!$E$3:$N$3, 0)),"")</f>
        <v>1</v>
      </c>
      <c r="S25" s="56">
        <f>IF(INDEX('NZS O&amp;G and CA100'!$D$5:$D$193, MATCH($A25, 'NZS O&amp;G and CA100'!$B$5:$B$193, 0)) = "Alignment", INDEX('NZS O&amp;G and CA100'!$E$5:$N$193, MATCH($A25, 'NZS O&amp;G and CA100'!$B$5:$B$193, 0),MATCH(S$4, 'NZS O&amp;G and CA100'!$E$3:$N$3, 0)),"")</f>
        <v>0</v>
      </c>
      <c r="T25" s="56">
        <f>IF(INDEX('NZS O&amp;G and CA100'!$D$5:$D$193, MATCH($A25, 'NZS O&amp;G and CA100'!$B$5:$B$193, 0)) = "Alignment", INDEX('NZS O&amp;G and CA100'!$E$5:$N$193, MATCH($A25, 'NZS O&amp;G and CA100'!$B$5:$B$193, 0),MATCH(T$4, 'NZS O&amp;G and CA100'!$E$3:$N$3, 0)),"")</f>
        <v>1</v>
      </c>
      <c r="U25" s="56">
        <f>IF(INDEX('NZS O&amp;G and CA100'!$D$5:$D$193, MATCH($A25, 'NZS O&amp;G and CA100'!$B$5:$B$193, 0)) = "Alignment", INDEX('NZS O&amp;G and CA100'!$E$5:$N$193, MATCH($A25, 'NZS O&amp;G and CA100'!$B$5:$B$193, 0),MATCH(U$4, 'NZS O&amp;G and CA100'!$E$3:$N$3, 0)),"")</f>
        <v>0</v>
      </c>
      <c r="V25" s="56">
        <f>IF(INDEX('NZS O&amp;G and CA100'!$D$5:$D$193, MATCH($A25, 'NZS O&amp;G and CA100'!$B$5:$B$193, 0)) = "Alignment", INDEX('NZS O&amp;G and CA100'!$E$5:$N$193, MATCH($A25, 'NZS O&amp;G and CA100'!$B$5:$B$193, 0),MATCH(V$4, 'NZS O&amp;G and CA100'!$E$3:$N$3, 0)),"")</f>
        <v>0</v>
      </c>
      <c r="W25" s="56">
        <f>IF(INDEX('NZS O&amp;G and CA100'!$D$5:$D$193, MATCH($A25, 'NZS O&amp;G and CA100'!$B$5:$B$193, 0)) = "Alignment", INDEX('NZS O&amp;G and CA100'!$E$5:$N$193, MATCH($A25, 'NZS O&amp;G and CA100'!$B$5:$B$193, 0),MATCH(L$3, 'NZS O&amp;G and CA100'!$E$3:$N$3, 0)),"")</f>
        <v>0</v>
      </c>
      <c r="X25" s="57">
        <f>IF(INDEX('NZS O&amp;G and CA100'!$D$5:$D$193, MATCH($A25, 'NZS O&amp;G and CA100'!$B$5:$B$193, 0)) = "Alignment", INDEX('NZS O&amp;G and CA100'!$E$5:$N$193, MATCH($A25, 'NZS O&amp;G and CA100'!$B$5:$B$193, 0),MATCH(M$3, 'NZS O&amp;G and CA100'!$E$3:$N$3, 0)),"")</f>
        <v>0</v>
      </c>
      <c r="Z25" s="55"/>
      <c r="AA25" s="56"/>
      <c r="AB25" s="56"/>
      <c r="AC25" s="56"/>
      <c r="AD25" s="56"/>
      <c r="AE25" s="56"/>
      <c r="AF25" s="56"/>
      <c r="AG25" s="56"/>
      <c r="AH25" s="56"/>
      <c r="AI25" s="57"/>
      <c r="AK25" s="49"/>
      <c r="AL25" s="49"/>
      <c r="AM25" s="49"/>
      <c r="AN25" s="49"/>
      <c r="AO25" s="49"/>
    </row>
    <row r="26" spans="1:41" s="1" customFormat="1" ht="6.65" customHeight="1" outlineLevel="1">
      <c r="A26" s="302"/>
      <c r="B26" s="231"/>
      <c r="C26" s="232"/>
      <c r="D26" s="55"/>
      <c r="E26" s="56"/>
      <c r="F26" s="56"/>
      <c r="G26" s="56"/>
      <c r="H26" s="56"/>
      <c r="I26" s="56"/>
      <c r="J26" s="56"/>
      <c r="K26" s="56"/>
      <c r="L26" s="56"/>
      <c r="M26" s="57"/>
      <c r="O26" s="55"/>
      <c r="P26" s="56"/>
      <c r="Q26" s="56"/>
      <c r="R26" s="56"/>
      <c r="S26" s="56"/>
      <c r="T26" s="56"/>
      <c r="U26" s="56"/>
      <c r="V26" s="56"/>
      <c r="W26" s="56"/>
      <c r="X26" s="57"/>
      <c r="Z26" s="55"/>
      <c r="AA26" s="56"/>
      <c r="AB26" s="56"/>
      <c r="AC26" s="56"/>
      <c r="AD26" s="56"/>
      <c r="AE26" s="56"/>
      <c r="AF26" s="56"/>
      <c r="AG26" s="56"/>
      <c r="AH26" s="56"/>
      <c r="AI26" s="57"/>
      <c r="AK26" s="49"/>
      <c r="AL26" s="49"/>
      <c r="AM26" s="49"/>
      <c r="AN26" s="49"/>
      <c r="AO26" s="49"/>
    </row>
    <row r="27" spans="1:41" s="1" customFormat="1" ht="18.649999999999999" customHeight="1" thickBot="1">
      <c r="A27" s="302"/>
      <c r="B27" s="229"/>
      <c r="C27" s="230"/>
      <c r="D27" s="55"/>
      <c r="E27" s="56"/>
      <c r="F27" s="56"/>
      <c r="G27" s="56"/>
      <c r="H27" s="56"/>
      <c r="I27" s="56"/>
      <c r="J27" s="56"/>
      <c r="K27" s="56"/>
      <c r="L27" s="56"/>
      <c r="M27" s="57"/>
      <c r="O27" s="58"/>
      <c r="P27" s="59"/>
      <c r="Q27" s="59"/>
      <c r="R27" s="59"/>
      <c r="S27" s="59"/>
      <c r="T27" s="59"/>
      <c r="U27" s="59"/>
      <c r="V27" s="59"/>
      <c r="W27" s="59"/>
      <c r="X27" s="60"/>
      <c r="Z27" s="58"/>
      <c r="AA27" s="59"/>
      <c r="AB27" s="59"/>
      <c r="AC27" s="59"/>
      <c r="AD27" s="59"/>
      <c r="AE27" s="59"/>
      <c r="AF27" s="59"/>
      <c r="AG27" s="59"/>
      <c r="AH27" s="59"/>
      <c r="AI27" s="60"/>
      <c r="AK27" s="49"/>
      <c r="AL27" s="49"/>
      <c r="AM27" s="49"/>
      <c r="AN27" s="49"/>
      <c r="AO27" s="49"/>
    </row>
    <row r="28" spans="1:41" s="1" customFormat="1" ht="18.649999999999999" customHeight="1">
      <c r="A28" s="302"/>
      <c r="B28" s="237" t="s">
        <v>81</v>
      </c>
      <c r="C28" s="65"/>
      <c r="D28" s="61"/>
      <c r="E28" s="62"/>
      <c r="F28" s="62"/>
      <c r="G28" s="62"/>
      <c r="H28" s="62"/>
      <c r="I28" s="62"/>
      <c r="J28" s="62"/>
      <c r="K28" s="62"/>
      <c r="L28" s="62"/>
      <c r="M28" s="63"/>
      <c r="O28" s="61"/>
      <c r="P28" s="62"/>
      <c r="Q28" s="62"/>
      <c r="R28" s="62"/>
      <c r="S28" s="62"/>
      <c r="T28" s="62"/>
      <c r="U28" s="62"/>
      <c r="V28" s="62"/>
      <c r="W28" s="62"/>
      <c r="X28" s="63"/>
      <c r="Z28" s="55"/>
      <c r="AA28" s="56"/>
      <c r="AB28" s="56"/>
      <c r="AC28" s="56"/>
      <c r="AD28" s="56"/>
      <c r="AE28" s="56"/>
      <c r="AF28" s="56"/>
      <c r="AG28" s="56"/>
      <c r="AH28" s="56"/>
      <c r="AI28" s="57"/>
      <c r="AK28" s="49"/>
      <c r="AL28" s="49"/>
      <c r="AM28" s="49"/>
      <c r="AN28" s="49"/>
      <c r="AO28" s="49"/>
    </row>
    <row r="29" spans="1:41" s="1" customFormat="1" ht="20.149999999999999" customHeight="1">
      <c r="A29" s="302">
        <v>3</v>
      </c>
      <c r="B29" s="376" t="s">
        <v>277</v>
      </c>
      <c r="C29" s="377"/>
      <c r="D29" s="307">
        <f t="shared" ref="D29:M29" si="9">IF($B$4="Climate Solutions","",IF($B$4="Alignment",AVERAGE(D31,D37,D38),AVERAGE(D30,D31)))</f>
        <v>1</v>
      </c>
      <c r="E29" s="308">
        <f t="shared" si="9"/>
        <v>0.83333333333333326</v>
      </c>
      <c r="F29" s="308">
        <f t="shared" si="9"/>
        <v>0.75</v>
      </c>
      <c r="G29" s="308">
        <f t="shared" si="9"/>
        <v>0.83333333333333326</v>
      </c>
      <c r="H29" s="308">
        <f t="shared" si="9"/>
        <v>0</v>
      </c>
      <c r="I29" s="308">
        <f t="shared" si="9"/>
        <v>0</v>
      </c>
      <c r="J29" s="308">
        <f t="shared" si="9"/>
        <v>0.66666666666666663</v>
      </c>
      <c r="K29" s="308">
        <f t="shared" si="9"/>
        <v>0.83333333333333326</v>
      </c>
      <c r="L29" s="308">
        <f t="shared" si="9"/>
        <v>0</v>
      </c>
      <c r="M29" s="309">
        <f t="shared" si="9"/>
        <v>0.83333333333333326</v>
      </c>
      <c r="O29" s="55">
        <f t="shared" ref="O29:X29" si="10">SUM(O31,O30,O37,O38)/COUNT(O30,O31,O37,O38)</f>
        <v>0</v>
      </c>
      <c r="P29" s="56">
        <f t="shared" si="10"/>
        <v>0</v>
      </c>
      <c r="Q29" s="56">
        <f t="shared" si="10"/>
        <v>0</v>
      </c>
      <c r="R29" s="56">
        <f t="shared" si="10"/>
        <v>0</v>
      </c>
      <c r="S29" s="56">
        <f t="shared" si="10"/>
        <v>0</v>
      </c>
      <c r="T29" s="56">
        <f t="shared" si="10"/>
        <v>0</v>
      </c>
      <c r="U29" s="56">
        <f t="shared" si="10"/>
        <v>0</v>
      </c>
      <c r="V29" s="56">
        <f t="shared" si="10"/>
        <v>0</v>
      </c>
      <c r="W29" s="56">
        <f t="shared" si="10"/>
        <v>0</v>
      </c>
      <c r="X29" s="57">
        <f t="shared" si="10"/>
        <v>0</v>
      </c>
      <c r="Z29" s="55"/>
      <c r="AA29" s="56"/>
      <c r="AB29" s="56"/>
      <c r="AC29" s="56"/>
      <c r="AD29" s="56"/>
      <c r="AE29" s="56"/>
      <c r="AF29" s="56"/>
      <c r="AG29" s="56"/>
      <c r="AH29" s="56"/>
      <c r="AI29" s="57"/>
      <c r="AK29" s="49"/>
      <c r="AL29" s="49"/>
      <c r="AM29" s="49"/>
      <c r="AN29" s="49"/>
      <c r="AO29" s="49"/>
    </row>
    <row r="30" spans="1:41" s="1" customFormat="1" ht="20.149999999999999" customHeight="1" outlineLevel="1">
      <c r="A30" s="302">
        <v>3.1</v>
      </c>
      <c r="B30" s="226" t="s">
        <v>83</v>
      </c>
      <c r="C30" s="227" t="str">
        <f>VLOOKUP(A30, 'NZS O&amp;G and CA100'!$B$7:$D$194, 3, FALSE)</f>
        <v>Disclosure</v>
      </c>
      <c r="D30" s="310">
        <f>IF(INDEX('NZS O&amp;G and CA100'!$D$5:$D$193, MATCH($A30, 'NZS O&amp;G and CA100'!$B$5:$B$193, 0)) =$B$4, INDEX('NZS O&amp;G and CA100'!$E$5:$N$193, MATCH($A30, 'NZS O&amp;G and CA100'!$B$5:$B$193, 0), MATCH(D$3, 'NZS O&amp;G and CA100'!$E$3:$N$3, 0)), "")</f>
        <v>1</v>
      </c>
      <c r="E30" s="311">
        <f>IF(INDEX('NZS O&amp;G and CA100'!$D$5:$D$193, MATCH($A30, 'NZS O&amp;G and CA100'!$B$5:$B$193, 0)) =$B$4, INDEX('NZS O&amp;G and CA100'!$E$5:$N$193, MATCH($A30, 'NZS O&amp;G and CA100'!$B$5:$B$193, 0), MATCH(E$3, 'NZS O&amp;G and CA100'!$E$3:$N$3, 0)), "")</f>
        <v>1</v>
      </c>
      <c r="F30" s="311">
        <f>IF(INDEX('NZS O&amp;G and CA100'!$D$5:$D$193, MATCH($A30, 'NZS O&amp;G and CA100'!$B$5:$B$193, 0)) =$B$4, INDEX('NZS O&amp;G and CA100'!$E$5:$N$193, MATCH($A30, 'NZS O&amp;G and CA100'!$B$5:$B$193, 0), MATCH(F$3, 'NZS O&amp;G and CA100'!$E$3:$N$3, 0)), "")</f>
        <v>1</v>
      </c>
      <c r="G30" s="311">
        <f>IF(INDEX('NZS O&amp;G and CA100'!$D$5:$D$193, MATCH($A30, 'NZS O&amp;G and CA100'!$B$5:$B$193, 0)) =$B$4, INDEX('NZS O&amp;G and CA100'!$E$5:$N$193, MATCH($A30, 'NZS O&amp;G and CA100'!$B$5:$B$193, 0), MATCH(G$3, 'NZS O&amp;G and CA100'!$E$3:$N$3, 0)), "")</f>
        <v>1</v>
      </c>
      <c r="H30" s="311">
        <f>IF(INDEX('NZS O&amp;G and CA100'!$D$5:$D$193, MATCH($A30, 'NZS O&amp;G and CA100'!$B$5:$B$193, 0)) =$B$4, INDEX('NZS O&amp;G and CA100'!$E$5:$N$193, MATCH($A30, 'NZS O&amp;G and CA100'!$B$5:$B$193, 0), MATCH(H$3, 'NZS O&amp;G and CA100'!$E$3:$N$3, 0)), "")</f>
        <v>0</v>
      </c>
      <c r="I30" s="311">
        <f>IF(INDEX('NZS O&amp;G and CA100'!$D$5:$D$193, MATCH($A30, 'NZS O&amp;G and CA100'!$B$5:$B$193, 0)) =$B$4, INDEX('NZS O&amp;G and CA100'!$E$5:$N$193, MATCH($A30, 'NZS O&amp;G and CA100'!$B$5:$B$193, 0), MATCH(I$3, 'NZS O&amp;G and CA100'!$E$3:$N$3, 0)), "")</f>
        <v>0</v>
      </c>
      <c r="J30" s="311">
        <f>IF(INDEX('NZS O&amp;G and CA100'!$D$5:$D$193, MATCH($A30, 'NZS O&amp;G and CA100'!$B$5:$B$193, 0)) =$B$4, INDEX('NZS O&amp;G and CA100'!$E$5:$N$193, MATCH($A30, 'NZS O&amp;G and CA100'!$B$5:$B$193, 0), MATCH(J$3, 'NZS O&amp;G and CA100'!$E$3:$N$3, 0)), "")</f>
        <v>1</v>
      </c>
      <c r="K30" s="311">
        <f>IF(INDEX('NZS O&amp;G and CA100'!$D$5:$D$193, MATCH($A30, 'NZS O&amp;G and CA100'!$B$5:$B$193, 0)) =$B$4, INDEX('NZS O&amp;G and CA100'!$E$5:$N$193, MATCH($A30, 'NZS O&amp;G and CA100'!$B$5:$B$193, 0), MATCH(K$3, 'NZS O&amp;G and CA100'!$E$3:$N$3, 0)), "")</f>
        <v>1</v>
      </c>
      <c r="L30" s="311">
        <f>IF(INDEX('NZS O&amp;G and CA100'!$D$5:$D$193, MATCH($A30, 'NZS O&amp;G and CA100'!$B$5:$B$193, 0)) =$B$4, INDEX('NZS O&amp;G and CA100'!$E$5:$N$193, MATCH($A30, 'NZS O&amp;G and CA100'!$B$5:$B$193, 0), MATCH(L$3, 'NZS O&amp;G and CA100'!$E$3:$N$3, 0)), "")</f>
        <v>0</v>
      </c>
      <c r="M30" s="312">
        <f>IF(INDEX('NZS O&amp;G and CA100'!$D$5:$D$193, MATCH($A30, 'NZS O&amp;G and CA100'!$B$5:$B$193, 0)) =$B$4, INDEX('NZS O&amp;G and CA100'!$E$5:$N$193, MATCH($A30, 'NZS O&amp;G and CA100'!$B$5:$B$193, 0), MATCH(M$3, 'NZS O&amp;G and CA100'!$E$3:$N$3, 0)), "")</f>
        <v>1</v>
      </c>
      <c r="O30" s="55"/>
      <c r="P30" s="56"/>
      <c r="Q30" s="56"/>
      <c r="R30" s="56"/>
      <c r="S30" s="56"/>
      <c r="T30" s="56"/>
      <c r="U30" s="56"/>
      <c r="V30" s="56"/>
      <c r="W30" s="56"/>
      <c r="X30" s="57"/>
      <c r="Z30" s="55"/>
      <c r="AA30" s="56"/>
      <c r="AB30" s="56"/>
      <c r="AC30" s="56"/>
      <c r="AD30" s="56"/>
      <c r="AE30" s="56"/>
      <c r="AF30" s="56"/>
      <c r="AG30" s="56"/>
      <c r="AH30" s="56"/>
      <c r="AI30" s="57"/>
      <c r="AK30" s="49"/>
      <c r="AL30" s="49"/>
      <c r="AM30" s="49"/>
      <c r="AN30" s="49"/>
      <c r="AO30" s="49"/>
    </row>
    <row r="31" spans="1:41" s="1" customFormat="1" ht="20.149999999999999" customHeight="1" outlineLevel="1">
      <c r="A31" s="302">
        <v>3.2</v>
      </c>
      <c r="B31" s="237" t="s">
        <v>278</v>
      </c>
      <c r="C31" s="65" t="str">
        <f>VLOOKUP(A31, 'NZS O&amp;G and CA100'!$B$7:$D$194, 3, FALSE)</f>
        <v/>
      </c>
      <c r="D31" s="310">
        <f>IF($B$4="Climate Solutions","",IF($B$4="Alignment","Under development",((SUM(D32:D36)/COUNT(D32:D36)))))</f>
        <v>1</v>
      </c>
      <c r="E31" s="311">
        <f t="shared" ref="E31:M31" si="11">IF($B$4="Climate Solutions","",IF($B$4="Alignment","Under development",((SUM(E32:E36)/COUNT(E32:E36)))))</f>
        <v>0.66666666666666663</v>
      </c>
      <c r="F31" s="311">
        <f t="shared" si="11"/>
        <v>0.5</v>
      </c>
      <c r="G31" s="311">
        <f t="shared" si="11"/>
        <v>0.66666666666666663</v>
      </c>
      <c r="H31" s="311">
        <f t="shared" si="11"/>
        <v>0</v>
      </c>
      <c r="I31" s="311">
        <f t="shared" si="11"/>
        <v>0</v>
      </c>
      <c r="J31" s="311">
        <f t="shared" si="11"/>
        <v>0.33333333333333331</v>
      </c>
      <c r="K31" s="311">
        <f t="shared" si="11"/>
        <v>0.66666666666666663</v>
      </c>
      <c r="L31" s="311">
        <f t="shared" si="11"/>
        <v>0</v>
      </c>
      <c r="M31" s="312">
        <f t="shared" si="11"/>
        <v>0.66666666666666663</v>
      </c>
      <c r="O31" s="185" t="str">
        <f>IF(AND(O33="Under development",O36="Under development"),"Under development", AVERAGE(O33,O36))</f>
        <v>Under development</v>
      </c>
      <c r="P31" s="186" t="str">
        <f t="shared" ref="P31:X31" si="12">P33</f>
        <v>Under development</v>
      </c>
      <c r="Q31" s="186" t="str">
        <f t="shared" si="12"/>
        <v>Under development</v>
      </c>
      <c r="R31" s="186" t="str">
        <f t="shared" si="12"/>
        <v>Under development</v>
      </c>
      <c r="S31" s="186" t="str">
        <f t="shared" si="12"/>
        <v>Under development</v>
      </c>
      <c r="T31" s="186" t="str">
        <f t="shared" si="12"/>
        <v>Under development</v>
      </c>
      <c r="U31" s="186" t="str">
        <f t="shared" si="12"/>
        <v>Under development</v>
      </c>
      <c r="V31" s="186" t="str">
        <f t="shared" si="12"/>
        <v>Under development</v>
      </c>
      <c r="W31" s="186" t="str">
        <f t="shared" si="12"/>
        <v>Under development</v>
      </c>
      <c r="X31" s="187" t="str">
        <f t="shared" si="12"/>
        <v>Under development</v>
      </c>
      <c r="Z31" s="55"/>
      <c r="AA31" s="56"/>
      <c r="AB31" s="56"/>
      <c r="AC31" s="56"/>
      <c r="AD31" s="56"/>
      <c r="AE31" s="56"/>
      <c r="AF31" s="56"/>
      <c r="AG31" s="56"/>
      <c r="AH31" s="56"/>
      <c r="AI31" s="57"/>
      <c r="AK31" s="49"/>
      <c r="AL31" s="49"/>
      <c r="AM31" s="49"/>
      <c r="AN31" s="49"/>
      <c r="AO31" s="49"/>
    </row>
    <row r="32" spans="1:41" s="1" customFormat="1" ht="20.149999999999999" customHeight="1" outlineLevel="2">
      <c r="A32" s="302" t="s">
        <v>279</v>
      </c>
      <c r="B32" s="228" t="s">
        <v>85</v>
      </c>
      <c r="C32" s="227" t="str">
        <f>VLOOKUP(A32, 'NZS O&amp;G and CA100'!$B$7:$D$194, 3, FALSE)</f>
        <v>Disclosure</v>
      </c>
      <c r="D32" s="310">
        <f>IF(INDEX('NZS O&amp;G and CA100'!$D$5:$D$193, MATCH($A32, 'NZS O&amp;G and CA100'!$B$5:$B$193, 0)) =$B$4, INDEX('NZS O&amp;G and CA100'!$E$5:$N$193, MATCH($A32, 'NZS O&amp;G and CA100'!$B$5:$B$193, 0),MATCH(D$3, 'NZS O&amp;G and CA100'!$E$3:$N$3, 0)),"")</f>
        <v>1</v>
      </c>
      <c r="E32" s="311">
        <f>IF(INDEX('NZS O&amp;G and CA100'!$D$5:$D$193, MATCH($A32, 'NZS O&amp;G and CA100'!$B$5:$B$193, 0)) =$B$4, INDEX('NZS O&amp;G and CA100'!$E$5:$N$193, MATCH($A32, 'NZS O&amp;G and CA100'!$B$5:$B$193, 0),MATCH(E$3, 'NZS O&amp;G and CA100'!$E$3:$N$3, 0)),"")</f>
        <v>1</v>
      </c>
      <c r="F32" s="311">
        <f>IF(INDEX('NZS O&amp;G and CA100'!$D$5:$D$193, MATCH($A32, 'NZS O&amp;G and CA100'!$B$5:$B$193, 0)) =$B$4, INDEX('NZS O&amp;G and CA100'!$E$5:$N$193, MATCH($A32, 'NZS O&amp;G and CA100'!$B$5:$B$193, 0),MATCH(F$3, 'NZS O&amp;G and CA100'!$E$3:$N$3, 0)),"")</f>
        <v>1</v>
      </c>
      <c r="G32" s="311">
        <f>IF(INDEX('NZS O&amp;G and CA100'!$D$5:$D$193, MATCH($A32, 'NZS O&amp;G and CA100'!$B$5:$B$193, 0)) =$B$4, INDEX('NZS O&amp;G and CA100'!$E$5:$N$193, MATCH($A32, 'NZS O&amp;G and CA100'!$B$5:$B$193, 0),MATCH(G$3, 'NZS O&amp;G and CA100'!$E$3:$N$3, 0)),"")</f>
        <v>1</v>
      </c>
      <c r="H32" s="311">
        <f>IF(INDEX('NZS O&amp;G and CA100'!$D$5:$D$193, MATCH($A32, 'NZS O&amp;G and CA100'!$B$5:$B$193, 0)) =$B$4, INDEX('NZS O&amp;G and CA100'!$E$5:$N$193, MATCH($A32, 'NZS O&amp;G and CA100'!$B$5:$B$193, 0),MATCH(H$3, 'NZS O&amp;G and CA100'!$E$3:$N$3, 0)),"")</f>
        <v>0</v>
      </c>
      <c r="I32" s="311">
        <f>IF(INDEX('NZS O&amp;G and CA100'!$D$5:$D$193, MATCH($A32, 'NZS O&amp;G and CA100'!$B$5:$B$193, 0)) =$B$4, INDEX('NZS O&amp;G and CA100'!$E$5:$N$193, MATCH($A32, 'NZS O&amp;G and CA100'!$B$5:$B$193, 0),MATCH(I$3, 'NZS O&amp;G and CA100'!$E$3:$N$3, 0)),"")</f>
        <v>0</v>
      </c>
      <c r="J32" s="311">
        <f>IF(INDEX('NZS O&amp;G and CA100'!$D$5:$D$193, MATCH($A32, 'NZS O&amp;G and CA100'!$B$5:$B$193, 0)) =$B$4, INDEX('NZS O&amp;G and CA100'!$E$5:$N$193, MATCH($A32, 'NZS O&amp;G and CA100'!$B$5:$B$193, 0),MATCH(J$3, 'NZS O&amp;G and CA100'!$E$3:$N$3, 0)),"")</f>
        <v>1</v>
      </c>
      <c r="K32" s="311">
        <f>IF(INDEX('NZS O&amp;G and CA100'!$D$5:$D$193, MATCH($A32, 'NZS O&amp;G and CA100'!$B$5:$B$193, 0)) =$B$4, INDEX('NZS O&amp;G and CA100'!$E$5:$N$193, MATCH($A32, 'NZS O&amp;G and CA100'!$B$5:$B$193, 0),MATCH(K$3, 'NZS O&amp;G and CA100'!$E$3:$N$3, 0)),"")</f>
        <v>1</v>
      </c>
      <c r="L32" s="311">
        <f>IF(INDEX('NZS O&amp;G and CA100'!$D$5:$D$193, MATCH($A32, 'NZS O&amp;G and CA100'!$B$5:$B$193, 0)) =$B$4, INDEX('NZS O&amp;G and CA100'!$E$5:$N$193, MATCH($A32, 'NZS O&amp;G and CA100'!$B$5:$B$193, 0),MATCH(L$3, 'NZS O&amp;G and CA100'!$E$3:$N$3, 0)),"")</f>
        <v>0</v>
      </c>
      <c r="M32" s="312">
        <f>IF(INDEX('NZS O&amp;G and CA100'!$D$5:$D$193, MATCH($A32, 'NZS O&amp;G and CA100'!$B$5:$B$193, 0)) =$B$4, INDEX('NZS O&amp;G and CA100'!$E$5:$N$193, MATCH($A32, 'NZS O&amp;G and CA100'!$B$5:$B$193, 0),MATCH(M$3, 'NZS O&amp;G and CA100'!$E$3:$N$3, 0)),"")</f>
        <v>1</v>
      </c>
      <c r="O32" s="55"/>
      <c r="P32" s="56"/>
      <c r="Q32" s="56"/>
      <c r="R32" s="56"/>
      <c r="S32" s="56"/>
      <c r="T32" s="56"/>
      <c r="U32" s="56"/>
      <c r="V32" s="56"/>
      <c r="W32" s="56"/>
      <c r="X32" s="57"/>
      <c r="Z32" s="55"/>
      <c r="AA32" s="56"/>
      <c r="AB32" s="56"/>
      <c r="AC32" s="56"/>
      <c r="AD32" s="56"/>
      <c r="AE32" s="56"/>
      <c r="AF32" s="56"/>
      <c r="AG32" s="56"/>
      <c r="AH32" s="56"/>
      <c r="AI32" s="57"/>
      <c r="AK32" s="49"/>
      <c r="AL32" s="49"/>
      <c r="AM32" s="49"/>
      <c r="AN32" s="49"/>
      <c r="AO32" s="49"/>
    </row>
    <row r="33" spans="1:41" s="1" customFormat="1" ht="20.149999999999999" customHeight="1" outlineLevel="2">
      <c r="A33" s="302" t="s">
        <v>280</v>
      </c>
      <c r="B33" s="235" t="s">
        <v>86</v>
      </c>
      <c r="C33" s="236" t="str">
        <f>VLOOKUP(A33, 'NZS O&amp;G and CA100'!$B$7:$D$194, 3, FALSE)</f>
        <v>Alignment</v>
      </c>
      <c r="D33" s="310" t="str">
        <f>IF(INDEX('NZS O&amp;G and CA100'!$D$5:$D$193, MATCH($A33, 'NZS O&amp;G and CA100'!$B$5:$B$193, 0)) =$B$4, INDEX('NZS O&amp;G and CA100'!$E$5:$N$193, MATCH($A33, 'NZS O&amp;G and CA100'!$B$5:$B$193, 0),MATCH(D$3, 'NZS O&amp;G and CA100'!$E$3:$N$3, 0)),"")</f>
        <v/>
      </c>
      <c r="E33" s="311" t="str">
        <f>IF(INDEX('NZS O&amp;G and CA100'!$D$5:$D$193, MATCH($A33, 'NZS O&amp;G and CA100'!$B$5:$B$193, 0)) =$B$4, INDEX('NZS O&amp;G and CA100'!$E$5:$N$193, MATCH($A33, 'NZS O&amp;G and CA100'!$B$5:$B$193, 0),MATCH(E$3, 'NZS O&amp;G and CA100'!$E$3:$N$3, 0)),"")</f>
        <v/>
      </c>
      <c r="F33" s="311" t="str">
        <f>IF(INDEX('NZS O&amp;G and CA100'!$D$5:$D$193, MATCH($A33, 'NZS O&amp;G and CA100'!$B$5:$B$193, 0)) =$B$4, INDEX('NZS O&amp;G and CA100'!$E$5:$N$193, MATCH($A33, 'NZS O&amp;G and CA100'!$B$5:$B$193, 0),MATCH(F$3, 'NZS O&amp;G and CA100'!$E$3:$N$3, 0)),"")</f>
        <v/>
      </c>
      <c r="G33" s="311" t="str">
        <f>IF(INDEX('NZS O&amp;G and CA100'!$D$5:$D$193, MATCH($A33, 'NZS O&amp;G and CA100'!$B$5:$B$193, 0)) =$B$4, INDEX('NZS O&amp;G and CA100'!$E$5:$N$193, MATCH($A33, 'NZS O&amp;G and CA100'!$B$5:$B$193, 0),MATCH(G$3, 'NZS O&amp;G and CA100'!$E$3:$N$3, 0)),"")</f>
        <v/>
      </c>
      <c r="H33" s="311" t="str">
        <f>IF(INDEX('NZS O&amp;G and CA100'!$D$5:$D$193, MATCH($A33, 'NZS O&amp;G and CA100'!$B$5:$B$193, 0)) =$B$4, INDEX('NZS O&amp;G and CA100'!$E$5:$N$193, MATCH($A33, 'NZS O&amp;G and CA100'!$B$5:$B$193, 0),MATCH(H$3, 'NZS O&amp;G and CA100'!$E$3:$N$3, 0)),"")</f>
        <v/>
      </c>
      <c r="I33" s="311" t="str">
        <f>IF(INDEX('NZS O&amp;G and CA100'!$D$5:$D$193, MATCH($A33, 'NZS O&amp;G and CA100'!$B$5:$B$193, 0)) =$B$4, INDEX('NZS O&amp;G and CA100'!$E$5:$N$193, MATCH($A33, 'NZS O&amp;G and CA100'!$B$5:$B$193, 0),MATCH(I$3, 'NZS O&amp;G and CA100'!$E$3:$N$3, 0)),"")</f>
        <v/>
      </c>
      <c r="J33" s="311" t="str">
        <f>IF(INDEX('NZS O&amp;G and CA100'!$D$5:$D$193, MATCH($A33, 'NZS O&amp;G and CA100'!$B$5:$B$193, 0)) =$B$4, INDEX('NZS O&amp;G and CA100'!$E$5:$N$193, MATCH($A33, 'NZS O&amp;G and CA100'!$B$5:$B$193, 0),MATCH(J$3, 'NZS O&amp;G and CA100'!$E$3:$N$3, 0)),"")</f>
        <v/>
      </c>
      <c r="K33" s="311" t="str">
        <f>IF(INDEX('NZS O&amp;G and CA100'!$D$5:$D$193, MATCH($A33, 'NZS O&amp;G and CA100'!$B$5:$B$193, 0)) =$B$4, INDEX('NZS O&amp;G and CA100'!$E$5:$N$193, MATCH($A33, 'NZS O&amp;G and CA100'!$B$5:$B$193, 0),MATCH(K$3, 'NZS O&amp;G and CA100'!$E$3:$N$3, 0)),"")</f>
        <v/>
      </c>
      <c r="L33" s="311" t="str">
        <f>IF(INDEX('NZS O&amp;G and CA100'!$D$5:$D$193, MATCH($A33, 'NZS O&amp;G and CA100'!$B$5:$B$193, 0)) =$B$4, INDEX('NZS O&amp;G and CA100'!$E$5:$N$193, MATCH($A33, 'NZS O&amp;G and CA100'!$B$5:$B$193, 0),MATCH(L$3, 'NZS O&amp;G and CA100'!$E$3:$N$3, 0)),"")</f>
        <v/>
      </c>
      <c r="M33" s="312" t="str">
        <f>IF(INDEX('NZS O&amp;G and CA100'!$D$5:$D$193, MATCH($A33, 'NZS O&amp;G and CA100'!$B$5:$B$193, 0)) =$B$4, INDEX('NZS O&amp;G and CA100'!$E$5:$N$193, MATCH($A33, 'NZS O&amp;G and CA100'!$B$5:$B$193, 0),MATCH(M$3, 'NZS O&amp;G and CA100'!$E$3:$N$3, 0)),"")</f>
        <v/>
      </c>
      <c r="O33" s="185" t="str">
        <f>IF(INDEX('NZS O&amp;G and CA100'!$D$5:$D$193, MATCH($A33, 'NZS O&amp;G and CA100'!$B$5:$B$193, 0)) = "Alignment", INDEX('NZS O&amp;G and CA100'!$E$5:$N$193, MATCH($A33, 'NZS O&amp;G and CA100'!$B$5:$B$193, 0),MATCH(O$4, 'NZS O&amp;G and CA100'!$E$3:$N$3, 0)),"")</f>
        <v>Under development</v>
      </c>
      <c r="P33" s="186" t="str">
        <f>IF(INDEX('NZS O&amp;G and CA100'!$D$5:$D$193, MATCH($A33, 'NZS O&amp;G and CA100'!$B$5:$B$193, 0)) = "Alignment", INDEX('NZS O&amp;G and CA100'!$E$5:$N$193, MATCH($A33, 'NZS O&amp;G and CA100'!$B$5:$B$193, 0),MATCH(P$4, 'NZS O&amp;G and CA100'!$E$3:$N$3, 0)),"")</f>
        <v>Under development</v>
      </c>
      <c r="Q33" s="186" t="str">
        <f>IF(INDEX('NZS O&amp;G and CA100'!$D$5:$D$193, MATCH($A33, 'NZS O&amp;G and CA100'!$B$5:$B$193, 0)) = "Alignment", INDEX('NZS O&amp;G and CA100'!$E$5:$N$193, MATCH($A33, 'NZS O&amp;G and CA100'!$B$5:$B$193, 0),MATCH(Q$4, 'NZS O&amp;G and CA100'!$E$3:$N$3, 0)),"")</f>
        <v>Under development</v>
      </c>
      <c r="R33" s="186" t="str">
        <f>IF(INDEX('NZS O&amp;G and CA100'!$D$5:$D$193, MATCH($A33, 'NZS O&amp;G and CA100'!$B$5:$B$193, 0)) = "Alignment", INDEX('NZS O&amp;G and CA100'!$E$5:$N$193, MATCH($A33, 'NZS O&amp;G and CA100'!$B$5:$B$193, 0),MATCH(R$4, 'NZS O&amp;G and CA100'!$E$3:$N$3, 0)),"")</f>
        <v>Under development</v>
      </c>
      <c r="S33" s="186" t="str">
        <f>IF(INDEX('NZS O&amp;G and CA100'!$D$5:$D$193, MATCH($A33, 'NZS O&amp;G and CA100'!$B$5:$B$193, 0)) = "Alignment", INDEX('NZS O&amp;G and CA100'!$E$5:$N$193, MATCH($A33, 'NZS O&amp;G and CA100'!$B$5:$B$193, 0),MATCH(S$4, 'NZS O&amp;G and CA100'!$E$3:$N$3, 0)),"")</f>
        <v>Under development</v>
      </c>
      <c r="T33" s="186" t="str">
        <f>IF(INDEX('NZS O&amp;G and CA100'!$D$5:$D$193, MATCH($A33, 'NZS O&amp;G and CA100'!$B$5:$B$193, 0)) = "Alignment", INDEX('NZS O&amp;G and CA100'!$E$5:$N$193, MATCH($A33, 'NZS O&amp;G and CA100'!$B$5:$B$193, 0),MATCH(T$4, 'NZS O&amp;G and CA100'!$E$3:$N$3, 0)),"")</f>
        <v>Under development</v>
      </c>
      <c r="U33" s="186" t="str">
        <f>IF(INDEX('NZS O&amp;G and CA100'!$D$5:$D$193, MATCH($A33, 'NZS O&amp;G and CA100'!$B$5:$B$193, 0)) = "Alignment", INDEX('NZS O&amp;G and CA100'!$E$5:$N$193, MATCH($A33, 'NZS O&amp;G and CA100'!$B$5:$B$193, 0),MATCH(U$4, 'NZS O&amp;G and CA100'!$E$3:$N$3, 0)),"")</f>
        <v>Under development</v>
      </c>
      <c r="V33" s="186" t="str">
        <f>IF(INDEX('NZS O&amp;G and CA100'!$D$5:$D$193, MATCH($A33, 'NZS O&amp;G and CA100'!$B$5:$B$193, 0)) = "Alignment", INDEX('NZS O&amp;G and CA100'!$E$5:$N$193, MATCH($A33, 'NZS O&amp;G and CA100'!$B$5:$B$193, 0),MATCH(V$4, 'NZS O&amp;G and CA100'!$E$3:$N$3, 0)),"")</f>
        <v>Under development</v>
      </c>
      <c r="W33" s="186" t="str">
        <f>IF(INDEX('NZS O&amp;G and CA100'!$D$5:$D$193, MATCH($A33, 'NZS O&amp;G and CA100'!$B$5:$B$193, 0)) = "Alignment", INDEX('NZS O&amp;G and CA100'!$E$5:$N$193, MATCH($A33, 'NZS O&amp;G and CA100'!$B$5:$B$193, 0),MATCH(L$3, 'NZS O&amp;G and CA100'!$E$3:$N$3, 0)),"")</f>
        <v>Under development</v>
      </c>
      <c r="X33" s="187" t="str">
        <f>IF(INDEX('NZS O&amp;G and CA100'!$D$5:$D$193, MATCH($A33, 'NZS O&amp;G and CA100'!$B$5:$B$193, 0)) = "Alignment", INDEX('NZS O&amp;G and CA100'!$E$5:$N$193, MATCH($A33, 'NZS O&amp;G and CA100'!$B$5:$B$193, 0),MATCH(M$3, 'NZS O&amp;G and CA100'!$E$3:$N$3, 0)),"")</f>
        <v>Under development</v>
      </c>
      <c r="Z33" s="55"/>
      <c r="AA33" s="56"/>
      <c r="AB33" s="56"/>
      <c r="AC33" s="56"/>
      <c r="AD33" s="56"/>
      <c r="AE33" s="56"/>
      <c r="AF33" s="56"/>
      <c r="AG33" s="56"/>
      <c r="AH33" s="56"/>
      <c r="AI33" s="57"/>
      <c r="AK33" s="49"/>
      <c r="AL33" s="49"/>
      <c r="AM33" s="49"/>
      <c r="AN33" s="49"/>
      <c r="AO33" s="49"/>
    </row>
    <row r="34" spans="1:41" s="1" customFormat="1" ht="20.149999999999999" customHeight="1" outlineLevel="2">
      <c r="A34" s="302" t="s">
        <v>281</v>
      </c>
      <c r="B34" s="228" t="s">
        <v>87</v>
      </c>
      <c r="C34" s="227" t="str">
        <f>VLOOKUP(A34, 'NZS O&amp;G and CA100'!$B$7:$D$194, 3, FALSE)</f>
        <v>Disclosure</v>
      </c>
      <c r="D34" s="310">
        <f>IF(INDEX('NZS O&amp;G and CA100'!$D$5:$D$193, MATCH($A34, 'NZS O&amp;G and CA100'!$B$5:$B$193, 0)) =$B$4, INDEX('NZS O&amp;G and CA100'!$E$5:$N$193, MATCH($A34, 'NZS O&amp;G and CA100'!$B$5:$B$193, 0),MATCH(D$3, 'NZS O&amp;G and CA100'!$E$3:$N$3, 0)),"")</f>
        <v>1</v>
      </c>
      <c r="E34" s="311">
        <f>IF(INDEX('NZS O&amp;G and CA100'!$D$5:$D$193, MATCH($A34, 'NZS O&amp;G and CA100'!$B$5:$B$193, 0)) =$B$4, INDEX('NZS O&amp;G and CA100'!$E$5:$N$193, MATCH($A34, 'NZS O&amp;G and CA100'!$B$5:$B$193, 0),MATCH(E$3, 'NZS O&amp;G and CA100'!$E$3:$N$3, 0)),"")</f>
        <v>1</v>
      </c>
      <c r="F34" s="311">
        <f>IF(INDEX('NZS O&amp;G and CA100'!$D$5:$D$193, MATCH($A34, 'NZS O&amp;G and CA100'!$B$5:$B$193, 0)) =$B$4, INDEX('NZS O&amp;G and CA100'!$E$5:$N$193, MATCH($A34, 'NZS O&amp;G and CA100'!$B$5:$B$193, 0),MATCH(F$3, 'NZS O&amp;G and CA100'!$E$3:$N$3, 0)),"")</f>
        <v>0</v>
      </c>
      <c r="G34" s="311">
        <f>IF(INDEX('NZS O&amp;G and CA100'!$D$5:$D$193, MATCH($A34, 'NZS O&amp;G and CA100'!$B$5:$B$193, 0)) =$B$4, INDEX('NZS O&amp;G and CA100'!$E$5:$N$193, MATCH($A34, 'NZS O&amp;G and CA100'!$B$5:$B$193, 0),MATCH(G$3, 'NZS O&amp;G and CA100'!$E$3:$N$3, 0)),"")</f>
        <v>1</v>
      </c>
      <c r="H34" s="311">
        <f>IF(INDEX('NZS O&amp;G and CA100'!$D$5:$D$193, MATCH($A34, 'NZS O&amp;G and CA100'!$B$5:$B$193, 0)) =$B$4, INDEX('NZS O&amp;G and CA100'!$E$5:$N$193, MATCH($A34, 'NZS O&amp;G and CA100'!$B$5:$B$193, 0),MATCH(H$3, 'NZS O&amp;G and CA100'!$E$3:$N$3, 0)),"")</f>
        <v>0</v>
      </c>
      <c r="I34" s="311">
        <f>IF(INDEX('NZS O&amp;G and CA100'!$D$5:$D$193, MATCH($A34, 'NZS O&amp;G and CA100'!$B$5:$B$193, 0)) =$B$4, INDEX('NZS O&amp;G and CA100'!$E$5:$N$193, MATCH($A34, 'NZS O&amp;G and CA100'!$B$5:$B$193, 0),MATCH(I$3, 'NZS O&amp;G and CA100'!$E$3:$N$3, 0)),"")</f>
        <v>0</v>
      </c>
      <c r="J34" s="311">
        <f>IF(INDEX('NZS O&amp;G and CA100'!$D$5:$D$193, MATCH($A34, 'NZS O&amp;G and CA100'!$B$5:$B$193, 0)) =$B$4, INDEX('NZS O&amp;G and CA100'!$E$5:$N$193, MATCH($A34, 'NZS O&amp;G and CA100'!$B$5:$B$193, 0),MATCH(J$3, 'NZS O&amp;G and CA100'!$E$3:$N$3, 0)),"")</f>
        <v>0</v>
      </c>
      <c r="K34" s="311">
        <f>IF(INDEX('NZS O&amp;G and CA100'!$D$5:$D$193, MATCH($A34, 'NZS O&amp;G and CA100'!$B$5:$B$193, 0)) =$B$4, INDEX('NZS O&amp;G and CA100'!$E$5:$N$193, MATCH($A34, 'NZS O&amp;G and CA100'!$B$5:$B$193, 0),MATCH(K$3, 'NZS O&amp;G and CA100'!$E$3:$N$3, 0)),"")</f>
        <v>1</v>
      </c>
      <c r="L34" s="311">
        <f>IF(INDEX('NZS O&amp;G and CA100'!$D$5:$D$193, MATCH($A34, 'NZS O&amp;G and CA100'!$B$5:$B$193, 0)) =$B$4, INDEX('NZS O&amp;G and CA100'!$E$5:$N$193, MATCH($A34, 'NZS O&amp;G and CA100'!$B$5:$B$193, 0),MATCH(L$3, 'NZS O&amp;G and CA100'!$E$3:$N$3, 0)),"")</f>
        <v>0</v>
      </c>
      <c r="M34" s="312">
        <f>IF(INDEX('NZS O&amp;G and CA100'!$D$5:$D$193, MATCH($A34, 'NZS O&amp;G and CA100'!$B$5:$B$193, 0)) =$B$4, INDEX('NZS O&amp;G and CA100'!$E$5:$N$193, MATCH($A34, 'NZS O&amp;G and CA100'!$B$5:$B$193, 0),MATCH(M$3, 'NZS O&amp;G and CA100'!$E$3:$N$3, 0)),"")</f>
        <v>1</v>
      </c>
      <c r="O34" s="55"/>
      <c r="P34" s="56"/>
      <c r="Q34" s="56"/>
      <c r="R34" s="56"/>
      <c r="S34" s="56"/>
      <c r="T34" s="56"/>
      <c r="U34" s="56"/>
      <c r="V34" s="56"/>
      <c r="W34" s="56"/>
      <c r="X34" s="57"/>
      <c r="Z34" s="55"/>
      <c r="AA34" s="56"/>
      <c r="AB34" s="56"/>
      <c r="AC34" s="56"/>
      <c r="AD34" s="56"/>
      <c r="AE34" s="56"/>
      <c r="AF34" s="56"/>
      <c r="AG34" s="56"/>
      <c r="AH34" s="56"/>
      <c r="AI34" s="57"/>
      <c r="AK34" s="49"/>
      <c r="AL34" s="49"/>
      <c r="AM34" s="49"/>
      <c r="AN34" s="49"/>
      <c r="AO34" s="49"/>
    </row>
    <row r="35" spans="1:41" s="1" customFormat="1" ht="20.149999999999999" customHeight="1" outlineLevel="2">
      <c r="A35" s="302" t="s">
        <v>282</v>
      </c>
      <c r="B35" s="235" t="s">
        <v>88</v>
      </c>
      <c r="C35" s="227" t="str">
        <f>VLOOKUP(A35, 'NZS O&amp;G and CA100'!$B$7:$D$194, 3, FALSE)</f>
        <v>Disclosure</v>
      </c>
      <c r="D35" s="310">
        <f>IF(INDEX('NZS O&amp;G and CA100'!$D$5:$D$193, MATCH($A35, 'NZS O&amp;G and CA100'!$B$5:$B$193, 0)) =$B$4, INDEX('NZS O&amp;G and CA100'!$E$5:$N$193, MATCH($A35, 'NZS O&amp;G and CA100'!$B$5:$B$193, 0),MATCH(D$3, 'NZS O&amp;G and CA100'!$E$3:$N$3, 0)),"")</f>
        <v>1</v>
      </c>
      <c r="E35" s="311">
        <f>IF(INDEX('NZS O&amp;G and CA100'!$D$5:$D$193, MATCH($A35, 'NZS O&amp;G and CA100'!$B$5:$B$193, 0)) =$B$4, INDEX('NZS O&amp;G and CA100'!$E$5:$N$193, MATCH($A35, 'NZS O&amp;G and CA100'!$B$5:$B$193, 0),MATCH(E$3, 'NZS O&amp;G and CA100'!$E$3:$N$3, 0)),"")</f>
        <v>0</v>
      </c>
      <c r="F35" s="311" t="str">
        <f>IF(INDEX('NZS O&amp;G and CA100'!$D$5:$D$193, MATCH($A35, 'NZS O&amp;G and CA100'!$B$5:$B$193, 0)) =$B$4, INDEX('NZS O&amp;G and CA100'!$E$5:$N$193, MATCH($A35, 'NZS O&amp;G and CA100'!$B$5:$B$193, 0),MATCH(F$3, 'NZS O&amp;G and CA100'!$E$3:$N$3, 0)),"")</f>
        <v>Not Applicable</v>
      </c>
      <c r="G35" s="311">
        <f>IF(INDEX('NZS O&amp;G and CA100'!$D$5:$D$193, MATCH($A35, 'NZS O&amp;G and CA100'!$B$5:$B$193, 0)) =$B$4, INDEX('NZS O&amp;G and CA100'!$E$5:$N$193, MATCH($A35, 'NZS O&amp;G and CA100'!$B$5:$B$193, 0),MATCH(G$3, 'NZS O&amp;G and CA100'!$E$3:$N$3, 0)),"")</f>
        <v>0</v>
      </c>
      <c r="H35" s="311">
        <f>IF(INDEX('NZS O&amp;G and CA100'!$D$5:$D$193, MATCH($A35, 'NZS O&amp;G and CA100'!$B$5:$B$193, 0)) =$B$4, INDEX('NZS O&amp;G and CA100'!$E$5:$N$193, MATCH($A35, 'NZS O&amp;G and CA100'!$B$5:$B$193, 0),MATCH(H$3, 'NZS O&amp;G and CA100'!$E$3:$N$3, 0)),"")</f>
        <v>0</v>
      </c>
      <c r="I35" s="311" t="str">
        <f>IF(INDEX('NZS O&amp;G and CA100'!$D$5:$D$193, MATCH($A35, 'NZS O&amp;G and CA100'!$B$5:$B$193, 0)) =$B$4, INDEX('NZS O&amp;G and CA100'!$E$5:$N$193, MATCH($A35, 'NZS O&amp;G and CA100'!$B$5:$B$193, 0),MATCH(I$3, 'NZS O&amp;G and CA100'!$E$3:$N$3, 0)),"")</f>
        <v>Not Applicable</v>
      </c>
      <c r="J35" s="311">
        <f>IF(INDEX('NZS O&amp;G and CA100'!$D$5:$D$193, MATCH($A35, 'NZS O&amp;G and CA100'!$B$5:$B$193, 0)) =$B$4, INDEX('NZS O&amp;G and CA100'!$E$5:$N$193, MATCH($A35, 'NZS O&amp;G and CA100'!$B$5:$B$193, 0),MATCH(J$3, 'NZS O&amp;G and CA100'!$E$3:$N$3, 0)),"")</f>
        <v>0</v>
      </c>
      <c r="K35" s="311">
        <f>IF(INDEX('NZS O&amp;G and CA100'!$D$5:$D$193, MATCH($A35, 'NZS O&amp;G and CA100'!$B$5:$B$193, 0)) =$B$4, INDEX('NZS O&amp;G and CA100'!$E$5:$N$193, MATCH($A35, 'NZS O&amp;G and CA100'!$B$5:$B$193, 0),MATCH(K$3, 'NZS O&amp;G and CA100'!$E$3:$N$3, 0)),"")</f>
        <v>0</v>
      </c>
      <c r="L35" s="311" t="str">
        <f>IF(INDEX('NZS O&amp;G and CA100'!$D$5:$D$193, MATCH($A35, 'NZS O&amp;G and CA100'!$B$5:$B$193, 0)) =$B$4, INDEX('NZS O&amp;G and CA100'!$E$5:$N$193, MATCH($A35, 'NZS O&amp;G and CA100'!$B$5:$B$193, 0),MATCH(L$3, 'NZS O&amp;G and CA100'!$E$3:$N$3, 0)),"")</f>
        <v>Not Applicable</v>
      </c>
      <c r="M35" s="312">
        <f>IF(INDEX('NZS O&amp;G and CA100'!$D$5:$D$193, MATCH($A35, 'NZS O&amp;G and CA100'!$B$5:$B$193, 0)) =$B$4, INDEX('NZS O&amp;G and CA100'!$E$5:$N$193, MATCH($A35, 'NZS O&amp;G and CA100'!$B$5:$B$193, 0),MATCH(M$3, 'NZS O&amp;G and CA100'!$E$3:$N$3, 0)),"")</f>
        <v>0</v>
      </c>
      <c r="O35" s="55"/>
      <c r="P35" s="56"/>
      <c r="Q35" s="56"/>
      <c r="R35" s="56"/>
      <c r="S35" s="56"/>
      <c r="T35" s="56"/>
      <c r="U35" s="56"/>
      <c r="V35" s="56"/>
      <c r="W35" s="56"/>
      <c r="X35" s="57"/>
      <c r="Z35" s="55"/>
      <c r="AA35" s="56"/>
      <c r="AB35" s="56"/>
      <c r="AC35" s="56"/>
      <c r="AD35" s="56"/>
      <c r="AE35" s="56"/>
      <c r="AF35" s="56"/>
      <c r="AG35" s="56"/>
      <c r="AH35" s="56"/>
      <c r="AI35" s="57"/>
      <c r="AK35" s="49"/>
      <c r="AL35" s="49"/>
      <c r="AM35" s="49"/>
      <c r="AN35" s="49"/>
      <c r="AO35" s="49"/>
    </row>
    <row r="36" spans="1:41" s="1" customFormat="1" ht="20.149999999999999" customHeight="1" outlineLevel="2">
      <c r="A36" s="302" t="s">
        <v>283</v>
      </c>
      <c r="B36" s="235" t="s">
        <v>89</v>
      </c>
      <c r="C36" s="236" t="str">
        <f>VLOOKUP(A36, 'NZS O&amp;G and CA100'!$B$7:$D$194, 3, FALSE)</f>
        <v>Alignment</v>
      </c>
      <c r="D36" s="310" t="str">
        <f>IF(INDEX('NZS O&amp;G and CA100'!$D$5:$D$193, MATCH($A36, 'NZS O&amp;G and CA100'!$B$5:$B$193, 0)) =$B$4, INDEX('NZS O&amp;G and CA100'!$E$5:$N$193, MATCH($A36, 'NZS O&amp;G and CA100'!$B$5:$B$193, 0),MATCH(D$3, 'NZS O&amp;G and CA100'!$E$3:$N$3, 0)),"")</f>
        <v/>
      </c>
      <c r="E36" s="311" t="str">
        <f>IF(INDEX('NZS O&amp;G and CA100'!$D$5:$D$193, MATCH($A36, 'NZS O&amp;G and CA100'!$B$5:$B$193, 0)) =$B$4, INDEX('NZS O&amp;G and CA100'!$E$5:$N$193, MATCH($A36, 'NZS O&amp;G and CA100'!$B$5:$B$193, 0),MATCH(E$3, 'NZS O&amp;G and CA100'!$E$3:$N$3, 0)),"")</f>
        <v/>
      </c>
      <c r="F36" s="311" t="str">
        <f>IF(INDEX('NZS O&amp;G and CA100'!$D$5:$D$193, MATCH($A36, 'NZS O&amp;G and CA100'!$B$5:$B$193, 0)) =$B$4, INDEX('NZS O&amp;G and CA100'!$E$5:$N$193, MATCH($A36, 'NZS O&amp;G and CA100'!$B$5:$B$193, 0),MATCH(F$3, 'NZS O&amp;G and CA100'!$E$3:$N$3, 0)),"")</f>
        <v/>
      </c>
      <c r="G36" s="311" t="str">
        <f>IF(INDEX('NZS O&amp;G and CA100'!$D$5:$D$193, MATCH($A36, 'NZS O&amp;G and CA100'!$B$5:$B$193, 0)) =$B$4, INDEX('NZS O&amp;G and CA100'!$E$5:$N$193, MATCH($A36, 'NZS O&amp;G and CA100'!$B$5:$B$193, 0),MATCH(G$3, 'NZS O&amp;G and CA100'!$E$3:$N$3, 0)),"")</f>
        <v/>
      </c>
      <c r="H36" s="311" t="str">
        <f>IF(INDEX('NZS O&amp;G and CA100'!$D$5:$D$193, MATCH($A36, 'NZS O&amp;G and CA100'!$B$5:$B$193, 0)) =$B$4, INDEX('NZS O&amp;G and CA100'!$E$5:$N$193, MATCH($A36, 'NZS O&amp;G and CA100'!$B$5:$B$193, 0),MATCH(H$3, 'NZS O&amp;G and CA100'!$E$3:$N$3, 0)),"")</f>
        <v/>
      </c>
      <c r="I36" s="311" t="str">
        <f>IF(INDEX('NZS O&amp;G and CA100'!$D$5:$D$193, MATCH($A36, 'NZS O&amp;G and CA100'!$B$5:$B$193, 0)) =$B$4, INDEX('NZS O&amp;G and CA100'!$E$5:$N$193, MATCH($A36, 'NZS O&amp;G and CA100'!$B$5:$B$193, 0),MATCH(I$3, 'NZS O&amp;G and CA100'!$E$3:$N$3, 0)),"")</f>
        <v/>
      </c>
      <c r="J36" s="311" t="str">
        <f>IF(INDEX('NZS O&amp;G and CA100'!$D$5:$D$193, MATCH($A36, 'NZS O&amp;G and CA100'!$B$5:$B$193, 0)) =$B$4, INDEX('NZS O&amp;G and CA100'!$E$5:$N$193, MATCH($A36, 'NZS O&amp;G and CA100'!$B$5:$B$193, 0),MATCH(J$3, 'NZS O&amp;G and CA100'!$E$3:$N$3, 0)),"")</f>
        <v/>
      </c>
      <c r="K36" s="311" t="str">
        <f>IF(INDEX('NZS O&amp;G and CA100'!$D$5:$D$193, MATCH($A36, 'NZS O&amp;G and CA100'!$B$5:$B$193, 0)) =$B$4, INDEX('NZS O&amp;G and CA100'!$E$5:$N$193, MATCH($A36, 'NZS O&amp;G and CA100'!$B$5:$B$193, 0),MATCH(K$3, 'NZS O&amp;G and CA100'!$E$3:$N$3, 0)),"")</f>
        <v/>
      </c>
      <c r="L36" s="311" t="str">
        <f>IF(INDEX('NZS O&amp;G and CA100'!$D$5:$D$193, MATCH($A36, 'NZS O&amp;G and CA100'!$B$5:$B$193, 0)) =$B$4, INDEX('NZS O&amp;G and CA100'!$E$5:$N$193, MATCH($A36, 'NZS O&amp;G and CA100'!$B$5:$B$193, 0),MATCH(L$3, 'NZS O&amp;G and CA100'!$E$3:$N$3, 0)),"")</f>
        <v/>
      </c>
      <c r="M36" s="312" t="str">
        <f>IF(INDEX('NZS O&amp;G and CA100'!$D$5:$D$193, MATCH($A36, 'NZS O&amp;G and CA100'!$B$5:$B$193, 0)) =$B$4, INDEX('NZS O&amp;G and CA100'!$E$5:$N$193, MATCH($A36, 'NZS O&amp;G and CA100'!$B$5:$B$193, 0),MATCH(M$3, 'NZS O&amp;G and CA100'!$E$3:$N$3, 0)),"")</f>
        <v/>
      </c>
      <c r="O36" s="185" t="str">
        <f>IF(INDEX('NZS O&amp;G and CA100'!$D$5:$D$193, MATCH($A36, 'NZS O&amp;G and CA100'!$B$5:$B$193, 0)) = "Alignment", INDEX('NZS O&amp;G and CA100'!$E$5:$N$193, MATCH($A36, 'NZS O&amp;G and CA100'!$B$5:$B$193, 0),MATCH(O$4, 'NZS O&amp;G and CA100'!$E$3:$N$3, 0)),"")</f>
        <v>Under development</v>
      </c>
      <c r="P36" s="186" t="str">
        <f>IF(INDEX('NZS O&amp;G and CA100'!$D$5:$D$193, MATCH($A36, 'NZS O&amp;G and CA100'!$B$5:$B$193, 0)) = "Alignment", INDEX('NZS O&amp;G and CA100'!$E$5:$N$193, MATCH($A36, 'NZS O&amp;G and CA100'!$B$5:$B$193, 0),MATCH(P$4, 'NZS O&amp;G and CA100'!$E$3:$N$3, 0)),"")</f>
        <v>Under development</v>
      </c>
      <c r="Q36" s="186" t="str">
        <f>IF(INDEX('NZS O&amp;G and CA100'!$D$5:$D$193, MATCH($A36, 'NZS O&amp;G and CA100'!$B$5:$B$193, 0)) = "Alignment", INDEX('NZS O&amp;G and CA100'!$E$5:$N$193, MATCH($A36, 'NZS O&amp;G and CA100'!$B$5:$B$193, 0),MATCH(Q$4, 'NZS O&amp;G and CA100'!$E$3:$N$3, 0)),"")</f>
        <v>Under development</v>
      </c>
      <c r="R36" s="186" t="str">
        <f>IF(INDEX('NZS O&amp;G and CA100'!$D$5:$D$193, MATCH($A36, 'NZS O&amp;G and CA100'!$B$5:$B$193, 0)) = "Alignment", INDEX('NZS O&amp;G and CA100'!$E$5:$N$193, MATCH($A36, 'NZS O&amp;G and CA100'!$B$5:$B$193, 0),MATCH(R$4, 'NZS O&amp;G and CA100'!$E$3:$N$3, 0)),"")</f>
        <v>Under development</v>
      </c>
      <c r="S36" s="186" t="str">
        <f>IF(INDEX('NZS O&amp;G and CA100'!$D$5:$D$193, MATCH($A36, 'NZS O&amp;G and CA100'!$B$5:$B$193, 0)) = "Alignment", INDEX('NZS O&amp;G and CA100'!$E$5:$N$193, MATCH($A36, 'NZS O&amp;G and CA100'!$B$5:$B$193, 0),MATCH(S$4, 'NZS O&amp;G and CA100'!$E$3:$N$3, 0)),"")</f>
        <v>Under development</v>
      </c>
      <c r="T36" s="186" t="str">
        <f>IF(INDEX('NZS O&amp;G and CA100'!$D$5:$D$193, MATCH($A36, 'NZS O&amp;G and CA100'!$B$5:$B$193, 0)) = "Alignment", INDEX('NZS O&amp;G and CA100'!$E$5:$N$193, MATCH($A36, 'NZS O&amp;G and CA100'!$B$5:$B$193, 0),MATCH(T$4, 'NZS O&amp;G and CA100'!$E$3:$N$3, 0)),"")</f>
        <v>Under development</v>
      </c>
      <c r="U36" s="186" t="str">
        <f>IF(INDEX('NZS O&amp;G and CA100'!$D$5:$D$193, MATCH($A36, 'NZS O&amp;G and CA100'!$B$5:$B$193, 0)) = "Alignment", INDEX('NZS O&amp;G and CA100'!$E$5:$N$193, MATCH($A36, 'NZS O&amp;G and CA100'!$B$5:$B$193, 0),MATCH(U$4, 'NZS O&amp;G and CA100'!$E$3:$N$3, 0)),"")</f>
        <v>Under development</v>
      </c>
      <c r="V36" s="186" t="str">
        <f>IF(INDEX('NZS O&amp;G and CA100'!$D$5:$D$193, MATCH($A36, 'NZS O&amp;G and CA100'!$B$5:$B$193, 0)) = "Alignment", INDEX('NZS O&amp;G and CA100'!$E$5:$N$193, MATCH($A36, 'NZS O&amp;G and CA100'!$B$5:$B$193, 0),MATCH(V$4, 'NZS O&amp;G and CA100'!$E$3:$N$3, 0)),"")</f>
        <v>Under development</v>
      </c>
      <c r="W36" s="186" t="str">
        <f>IF(INDEX('NZS O&amp;G and CA100'!$D$5:$D$193, MATCH($A36, 'NZS O&amp;G and CA100'!$B$5:$B$193, 0)) = "Alignment", INDEX('NZS O&amp;G and CA100'!$E$5:$N$193, MATCH($A36, 'NZS O&amp;G and CA100'!$B$5:$B$193, 0),MATCH(L$3, 'NZS O&amp;G and CA100'!$E$3:$N$3, 0)),"")</f>
        <v>Under development</v>
      </c>
      <c r="X36" s="187" t="str">
        <f>IF(INDEX('NZS O&amp;G and CA100'!$D$5:$D$193, MATCH($A36, 'NZS O&amp;G and CA100'!$B$5:$B$193, 0)) = "Alignment", INDEX('NZS O&amp;G and CA100'!$E$5:$N$193, MATCH($A36, 'NZS O&amp;G and CA100'!$B$5:$B$193, 0),MATCH(M$3, 'NZS O&amp;G and CA100'!$E$3:$N$3, 0)),"")</f>
        <v>Under development</v>
      </c>
      <c r="Z36" s="55"/>
      <c r="AA36" s="56"/>
      <c r="AB36" s="56"/>
      <c r="AC36" s="56"/>
      <c r="AD36" s="56"/>
      <c r="AE36" s="56"/>
      <c r="AF36" s="56"/>
      <c r="AG36" s="56"/>
      <c r="AH36" s="56"/>
      <c r="AI36" s="57"/>
      <c r="AK36" s="49"/>
      <c r="AL36" s="49"/>
      <c r="AM36" s="49"/>
      <c r="AN36" s="49"/>
      <c r="AO36" s="49"/>
    </row>
    <row r="37" spans="1:41" s="1" customFormat="1" ht="20.149999999999999" customHeight="1" outlineLevel="1">
      <c r="A37" s="302">
        <v>3.3</v>
      </c>
      <c r="B37" s="226" t="s">
        <v>284</v>
      </c>
      <c r="C37" s="227" t="str">
        <f>VLOOKUP(A37, 'NZS O&amp;G and CA100'!$B$7:$D$194, 3, FALSE)</f>
        <v>Alignment</v>
      </c>
      <c r="D37" s="310" t="str">
        <f>IF(INDEX('NZS O&amp;G and CA100'!$D$5:$D$193, MATCH($A37, 'NZS O&amp;G and CA100'!$B$5:$B$193, 0)) =$B$4, INDEX('NZS O&amp;G and CA100'!$E$5:$N$193, MATCH($A37, 'NZS O&amp;G and CA100'!$B$5:$B$193, 0),MATCH(D$3, 'NZS O&amp;G and CA100'!$E$3:$N$3, 0)),"")</f>
        <v/>
      </c>
      <c r="E37" s="311" t="str">
        <f>IF(INDEX('NZS O&amp;G and CA100'!$D$5:$D$193, MATCH($A37, 'NZS O&amp;G and CA100'!$B$5:$B$193, 0)) =$B$4, INDEX('NZS O&amp;G and CA100'!$E$5:$N$193, MATCH($A37, 'NZS O&amp;G and CA100'!$B$5:$B$193, 0),MATCH(E$3, 'NZS O&amp;G and CA100'!$E$3:$N$3, 0)),"")</f>
        <v/>
      </c>
      <c r="F37" s="311" t="str">
        <f>IF(INDEX('NZS O&amp;G and CA100'!$D$5:$D$193, MATCH($A37, 'NZS O&amp;G and CA100'!$B$5:$B$193, 0)) =$B$4, INDEX('NZS O&amp;G and CA100'!$E$5:$N$193, MATCH($A37, 'NZS O&amp;G and CA100'!$B$5:$B$193, 0),MATCH(F$3, 'NZS O&amp;G and CA100'!$E$3:$N$3, 0)),"")</f>
        <v/>
      </c>
      <c r="G37" s="311" t="str">
        <f>IF(INDEX('NZS O&amp;G and CA100'!$D$5:$D$193, MATCH($A37, 'NZS O&amp;G and CA100'!$B$5:$B$193, 0)) =$B$4, INDEX('NZS O&amp;G and CA100'!$E$5:$N$193, MATCH($A37, 'NZS O&amp;G and CA100'!$B$5:$B$193, 0),MATCH(G$3, 'NZS O&amp;G and CA100'!$E$3:$N$3, 0)),"")</f>
        <v/>
      </c>
      <c r="H37" s="311" t="str">
        <f>IF(INDEX('NZS O&amp;G and CA100'!$D$5:$D$193, MATCH($A37, 'NZS O&amp;G and CA100'!$B$5:$B$193, 0)) =$B$4, INDEX('NZS O&amp;G and CA100'!$E$5:$N$193, MATCH($A37, 'NZS O&amp;G and CA100'!$B$5:$B$193, 0),MATCH(H$3, 'NZS O&amp;G and CA100'!$E$3:$N$3, 0)),"")</f>
        <v/>
      </c>
      <c r="I37" s="311" t="str">
        <f>IF(INDEX('NZS O&amp;G and CA100'!$D$5:$D$193, MATCH($A37, 'NZS O&amp;G and CA100'!$B$5:$B$193, 0)) =$B$4, INDEX('NZS O&amp;G and CA100'!$E$5:$N$193, MATCH($A37, 'NZS O&amp;G and CA100'!$B$5:$B$193, 0),MATCH(I$3, 'NZS O&amp;G and CA100'!$E$3:$N$3, 0)),"")</f>
        <v/>
      </c>
      <c r="J37" s="311" t="str">
        <f>IF(INDEX('NZS O&amp;G and CA100'!$D$5:$D$193, MATCH($A37, 'NZS O&amp;G and CA100'!$B$5:$B$193, 0)) =$B$4, INDEX('NZS O&amp;G and CA100'!$E$5:$N$193, MATCH($A37, 'NZS O&amp;G and CA100'!$B$5:$B$193, 0),MATCH(J$3, 'NZS O&amp;G and CA100'!$E$3:$N$3, 0)),"")</f>
        <v/>
      </c>
      <c r="K37" s="311" t="str">
        <f>IF(INDEX('NZS O&amp;G and CA100'!$D$5:$D$193, MATCH($A37, 'NZS O&amp;G and CA100'!$B$5:$B$193, 0)) =$B$4, INDEX('NZS O&amp;G and CA100'!$E$5:$N$193, MATCH($A37, 'NZS O&amp;G and CA100'!$B$5:$B$193, 0),MATCH(K$3, 'NZS O&amp;G and CA100'!$E$3:$N$3, 0)),"")</f>
        <v/>
      </c>
      <c r="L37" s="311" t="str">
        <f>IF(INDEX('NZS O&amp;G and CA100'!$D$5:$D$193, MATCH($A37, 'NZS O&amp;G and CA100'!$B$5:$B$193, 0)) =$B$4, INDEX('NZS O&amp;G and CA100'!$E$5:$N$193, MATCH($A37, 'NZS O&amp;G and CA100'!$B$5:$B$193, 0),MATCH(L$3, 'NZS O&amp;G and CA100'!$E$3:$N$3, 0)),"")</f>
        <v/>
      </c>
      <c r="M37" s="312" t="str">
        <f>IF(INDEX('NZS O&amp;G and CA100'!$D$5:$D$193, MATCH($A37, 'NZS O&amp;G and CA100'!$B$5:$B$193, 0)) =$B$4, INDEX('NZS O&amp;G and CA100'!$E$5:$N$193, MATCH($A37, 'NZS O&amp;G and CA100'!$B$5:$B$193, 0),MATCH(M$3, 'NZS O&amp;G and CA100'!$E$3:$N$3, 0)),"")</f>
        <v/>
      </c>
      <c r="O37" s="55">
        <f>IF(INDEX('NZS O&amp;G and CA100'!$D$5:$D$193, MATCH($A37, 'NZS O&amp;G and CA100'!$B$5:$B$193, 0)) = "Alignment", INDEX('NZS O&amp;G and CA100'!$E$5:$N$193, MATCH($A37, 'NZS O&amp;G and CA100'!$B$5:$B$193, 0),MATCH(O$4, 'NZS O&amp;G and CA100'!$E$3:$N$3, 0)),"")</f>
        <v>0</v>
      </c>
      <c r="P37" s="56">
        <f>IF(INDEX('NZS O&amp;G and CA100'!$D$5:$D$193, MATCH($A37, 'NZS O&amp;G and CA100'!$B$5:$B$193, 0)) = "Alignment", INDEX('NZS O&amp;G and CA100'!$E$5:$N$193, MATCH($A37, 'NZS O&amp;G and CA100'!$B$5:$B$193, 0),MATCH(P$4, 'NZS O&amp;G and CA100'!$E$3:$N$3, 0)),"")</f>
        <v>0</v>
      </c>
      <c r="Q37" s="56">
        <f>IF(INDEX('NZS O&amp;G and CA100'!$D$5:$D$193, MATCH($A37, 'NZS O&amp;G and CA100'!$B$5:$B$193, 0)) = "Alignment", INDEX('NZS O&amp;G and CA100'!$E$5:$N$193, MATCH($A37, 'NZS O&amp;G and CA100'!$B$5:$B$193, 0),MATCH(Q$4, 'NZS O&amp;G and CA100'!$E$3:$N$3, 0)),"")</f>
        <v>0</v>
      </c>
      <c r="R37" s="56">
        <f>IF(INDEX('NZS O&amp;G and CA100'!$D$5:$D$193, MATCH($A37, 'NZS O&amp;G and CA100'!$B$5:$B$193, 0)) = "Alignment", INDEX('NZS O&amp;G and CA100'!$E$5:$N$193, MATCH($A37, 'NZS O&amp;G and CA100'!$B$5:$B$193, 0),MATCH(R$4, 'NZS O&amp;G and CA100'!$E$3:$N$3, 0)),"")</f>
        <v>0</v>
      </c>
      <c r="S37" s="56">
        <f>IF(INDEX('NZS O&amp;G and CA100'!$D$5:$D$193, MATCH($A37, 'NZS O&amp;G and CA100'!$B$5:$B$193, 0)) = "Alignment", INDEX('NZS O&amp;G and CA100'!$E$5:$N$193, MATCH($A37, 'NZS O&amp;G and CA100'!$B$5:$B$193, 0),MATCH(S$4, 'NZS O&amp;G and CA100'!$E$3:$N$3, 0)),"")</f>
        <v>0</v>
      </c>
      <c r="T37" s="56">
        <f>IF(INDEX('NZS O&amp;G and CA100'!$D$5:$D$193, MATCH($A37, 'NZS O&amp;G and CA100'!$B$5:$B$193, 0)) = "Alignment", INDEX('NZS O&amp;G and CA100'!$E$5:$N$193, MATCH($A37, 'NZS O&amp;G and CA100'!$B$5:$B$193, 0),MATCH(T$4, 'NZS O&amp;G and CA100'!$E$3:$N$3, 0)),"")</f>
        <v>0</v>
      </c>
      <c r="U37" s="56">
        <f>IF(INDEX('NZS O&amp;G and CA100'!$D$5:$D$193, MATCH($A37, 'NZS O&amp;G and CA100'!$B$5:$B$193, 0)) = "Alignment", INDEX('NZS O&amp;G and CA100'!$E$5:$N$193, MATCH($A37, 'NZS O&amp;G and CA100'!$B$5:$B$193, 0),MATCH(U$4, 'NZS O&amp;G and CA100'!$E$3:$N$3, 0)),"")</f>
        <v>0</v>
      </c>
      <c r="V37" s="56">
        <f>IF(INDEX('NZS O&amp;G and CA100'!$D$5:$D$193, MATCH($A37, 'NZS O&amp;G and CA100'!$B$5:$B$193, 0)) = "Alignment", INDEX('NZS O&amp;G and CA100'!$E$5:$N$193, MATCH($A37, 'NZS O&amp;G and CA100'!$B$5:$B$193, 0),MATCH(V$4, 'NZS O&amp;G and CA100'!$E$3:$N$3, 0)),"")</f>
        <v>0</v>
      </c>
      <c r="W37" s="56">
        <f>IF(INDEX('NZS O&amp;G and CA100'!$D$5:$D$193, MATCH($A37, 'NZS O&amp;G and CA100'!$B$5:$B$193, 0)) = "Alignment", INDEX('NZS O&amp;G and CA100'!$E$5:$N$193, MATCH($A37, 'NZS O&amp;G and CA100'!$B$5:$B$193, 0),MATCH(L$3, 'NZS O&amp;G and CA100'!$E$3:$N$3, 0)),"")</f>
        <v>0</v>
      </c>
      <c r="X37" s="57">
        <f>IF(INDEX('NZS O&amp;G and CA100'!$D$5:$D$193, MATCH($A37, 'NZS O&amp;G and CA100'!$B$5:$B$193, 0)) = "Alignment", INDEX('NZS O&amp;G and CA100'!$E$5:$N$193, MATCH($A37, 'NZS O&amp;G and CA100'!$B$5:$B$193, 0),MATCH(M$3, 'NZS O&amp;G and CA100'!$E$3:$N$3, 0)),"")</f>
        <v>0</v>
      </c>
      <c r="Z37" s="55"/>
      <c r="AA37" s="56"/>
      <c r="AB37" s="56"/>
      <c r="AC37" s="56"/>
      <c r="AD37" s="56"/>
      <c r="AE37" s="56"/>
      <c r="AF37" s="56"/>
      <c r="AG37" s="56"/>
      <c r="AH37" s="56"/>
      <c r="AI37" s="57"/>
      <c r="AK37" s="49"/>
      <c r="AL37" s="49"/>
      <c r="AM37" s="49"/>
      <c r="AN37" s="49"/>
      <c r="AO37" s="49"/>
    </row>
    <row r="38" spans="1:41" s="1" customFormat="1" ht="20.149999999999999" customHeight="1" outlineLevel="1">
      <c r="A38" s="302">
        <v>3.4</v>
      </c>
      <c r="B38" s="226" t="s">
        <v>285</v>
      </c>
      <c r="C38" s="227" t="str">
        <f>VLOOKUP(A38, 'NZS O&amp;G and CA100'!$B$7:$D$194, 3, FALSE)</f>
        <v>Alignment</v>
      </c>
      <c r="D38" s="310" t="str">
        <f t="shared" ref="D38:M38" si="13">IF($B$4="Alignment","Under development","")</f>
        <v/>
      </c>
      <c r="E38" s="311" t="str">
        <f t="shared" si="13"/>
        <v/>
      </c>
      <c r="F38" s="311" t="str">
        <f t="shared" si="13"/>
        <v/>
      </c>
      <c r="G38" s="311" t="str">
        <f t="shared" si="13"/>
        <v/>
      </c>
      <c r="H38" s="311" t="str">
        <f t="shared" si="13"/>
        <v/>
      </c>
      <c r="I38" s="311" t="str">
        <f t="shared" si="13"/>
        <v/>
      </c>
      <c r="J38" s="311" t="str">
        <f t="shared" si="13"/>
        <v/>
      </c>
      <c r="K38" s="311" t="str">
        <f t="shared" si="13"/>
        <v/>
      </c>
      <c r="L38" s="311" t="str">
        <f t="shared" si="13"/>
        <v/>
      </c>
      <c r="M38" s="312" t="str">
        <f t="shared" si="13"/>
        <v/>
      </c>
      <c r="O38" s="185" t="s">
        <v>93</v>
      </c>
      <c r="P38" s="186" t="s">
        <v>93</v>
      </c>
      <c r="Q38" s="186" t="s">
        <v>93</v>
      </c>
      <c r="R38" s="186" t="s">
        <v>93</v>
      </c>
      <c r="S38" s="186" t="s">
        <v>93</v>
      </c>
      <c r="T38" s="186" t="s">
        <v>93</v>
      </c>
      <c r="U38" s="186" t="s">
        <v>93</v>
      </c>
      <c r="V38" s="186" t="s">
        <v>93</v>
      </c>
      <c r="W38" s="186" t="s">
        <v>93</v>
      </c>
      <c r="X38" s="187" t="s">
        <v>93</v>
      </c>
      <c r="Z38" s="55"/>
      <c r="AA38" s="56"/>
      <c r="AB38" s="56"/>
      <c r="AC38" s="56"/>
      <c r="AD38" s="56"/>
      <c r="AE38" s="56"/>
      <c r="AF38" s="56"/>
      <c r="AG38" s="56"/>
      <c r="AH38" s="56"/>
      <c r="AI38" s="57"/>
      <c r="AK38" s="49"/>
      <c r="AL38" s="49"/>
      <c r="AM38" s="49"/>
      <c r="AN38" s="49"/>
      <c r="AO38" s="49"/>
    </row>
    <row r="39" spans="1:41" s="1" customFormat="1" ht="31.5" customHeight="1" thickBot="1">
      <c r="A39" s="302"/>
      <c r="B39" s="229"/>
      <c r="C39" s="230"/>
      <c r="D39" s="58"/>
      <c r="E39" s="59"/>
      <c r="F39" s="59"/>
      <c r="G39" s="59"/>
      <c r="H39" s="59"/>
      <c r="I39" s="59"/>
      <c r="J39" s="59"/>
      <c r="K39" s="59"/>
      <c r="L39" s="59"/>
      <c r="M39" s="60"/>
      <c r="O39" s="58"/>
      <c r="P39" s="59"/>
      <c r="Q39" s="59"/>
      <c r="R39" s="59"/>
      <c r="S39" s="59"/>
      <c r="T39" s="59"/>
      <c r="U39" s="59"/>
      <c r="V39" s="59"/>
      <c r="W39" s="59"/>
      <c r="X39" s="60"/>
      <c r="Z39" s="55"/>
      <c r="AA39" s="56"/>
      <c r="AB39" s="56"/>
      <c r="AC39" s="56"/>
      <c r="AD39" s="56"/>
      <c r="AE39" s="56"/>
      <c r="AF39" s="56"/>
      <c r="AG39" s="56"/>
      <c r="AH39" s="56"/>
      <c r="AI39" s="57"/>
      <c r="AK39" s="49"/>
      <c r="AL39" s="49"/>
      <c r="AM39" s="49"/>
      <c r="AN39" s="49"/>
      <c r="AO39" s="49"/>
    </row>
    <row r="40" spans="1:41" s="1" customFormat="1" ht="18.649999999999999" customHeight="1">
      <c r="A40" s="302"/>
      <c r="B40" s="231"/>
      <c r="C40" s="232"/>
      <c r="D40" s="55"/>
      <c r="E40" s="56"/>
      <c r="F40" s="56"/>
      <c r="G40" s="56"/>
      <c r="H40" s="56"/>
      <c r="I40" s="56"/>
      <c r="J40" s="56"/>
      <c r="K40" s="56"/>
      <c r="L40" s="56"/>
      <c r="M40" s="63"/>
      <c r="O40" s="61"/>
      <c r="P40" s="62"/>
      <c r="Q40" s="62"/>
      <c r="R40" s="62"/>
      <c r="S40" s="62"/>
      <c r="T40" s="62"/>
      <c r="U40" s="62"/>
      <c r="V40" s="62"/>
      <c r="W40" s="62"/>
      <c r="X40" s="63"/>
      <c r="Z40" s="61"/>
      <c r="AA40" s="62"/>
      <c r="AB40" s="62"/>
      <c r="AC40" s="62"/>
      <c r="AD40" s="62"/>
      <c r="AE40" s="62"/>
      <c r="AF40" s="62"/>
      <c r="AG40" s="62"/>
      <c r="AH40" s="62"/>
      <c r="AI40" s="63"/>
      <c r="AK40" s="49"/>
      <c r="AL40" s="49"/>
      <c r="AM40" s="49"/>
      <c r="AN40" s="49"/>
      <c r="AO40" s="49"/>
    </row>
    <row r="41" spans="1:41" s="1" customFormat="1" ht="20.149999999999999" customHeight="1">
      <c r="A41" s="302">
        <v>4</v>
      </c>
      <c r="B41" s="376" t="s">
        <v>286</v>
      </c>
      <c r="C41" s="377"/>
      <c r="D41" s="307">
        <f t="shared" ref="D41:M41" si="14">IF($B$4="Climate Solutions","",IF($B$4="Alignment",D$46,(SUM(D42,D43)/COUNT(D42,D43))))</f>
        <v>1</v>
      </c>
      <c r="E41" s="308">
        <f t="shared" si="14"/>
        <v>0.5</v>
      </c>
      <c r="F41" s="308">
        <f t="shared" si="14"/>
        <v>0</v>
      </c>
      <c r="G41" s="308">
        <f t="shared" si="14"/>
        <v>0.75</v>
      </c>
      <c r="H41" s="308">
        <f t="shared" si="14"/>
        <v>0.5</v>
      </c>
      <c r="I41" s="308">
        <f t="shared" si="14"/>
        <v>0.75</v>
      </c>
      <c r="J41" s="308">
        <f t="shared" si="14"/>
        <v>0.75</v>
      </c>
      <c r="K41" s="308">
        <f t="shared" si="14"/>
        <v>1</v>
      </c>
      <c r="L41" s="308">
        <f t="shared" si="14"/>
        <v>0</v>
      </c>
      <c r="M41" s="309">
        <f t="shared" si="14"/>
        <v>1</v>
      </c>
      <c r="O41" s="55">
        <f t="shared" ref="O41:X41" si="15">SUM(O46,O42,O43)/COUNT(O42,O43,O46)</f>
        <v>0</v>
      </c>
      <c r="P41" s="56">
        <f t="shared" si="15"/>
        <v>0</v>
      </c>
      <c r="Q41" s="56">
        <f t="shared" si="15"/>
        <v>0</v>
      </c>
      <c r="R41" s="56">
        <f t="shared" si="15"/>
        <v>0</v>
      </c>
      <c r="S41" s="56">
        <f t="shared" si="15"/>
        <v>0</v>
      </c>
      <c r="T41" s="56">
        <f t="shared" si="15"/>
        <v>0</v>
      </c>
      <c r="U41" s="56">
        <f t="shared" si="15"/>
        <v>0</v>
      </c>
      <c r="V41" s="56">
        <f t="shared" si="15"/>
        <v>0</v>
      </c>
      <c r="W41" s="56">
        <f t="shared" si="15"/>
        <v>0</v>
      </c>
      <c r="X41" s="57">
        <f t="shared" si="15"/>
        <v>0</v>
      </c>
      <c r="Z41" s="55"/>
      <c r="AA41" s="56"/>
      <c r="AB41" s="56"/>
      <c r="AC41" s="56"/>
      <c r="AD41" s="56"/>
      <c r="AE41" s="56"/>
      <c r="AF41" s="56"/>
      <c r="AG41" s="56"/>
      <c r="AH41" s="56"/>
      <c r="AI41" s="57"/>
      <c r="AK41" s="49"/>
      <c r="AL41" s="49"/>
      <c r="AM41" s="49"/>
      <c r="AN41" s="49"/>
      <c r="AO41" s="49"/>
    </row>
    <row r="42" spans="1:41" s="1" customFormat="1" ht="20.149999999999999" customHeight="1" outlineLevel="1">
      <c r="A42" s="302">
        <v>4.0999999999999996</v>
      </c>
      <c r="B42" s="226" t="s">
        <v>95</v>
      </c>
      <c r="C42" s="227" t="str">
        <f>VLOOKUP(A42, 'NZS O&amp;G and CA100'!$B$7:$D$194, 3, FALSE)</f>
        <v>Disclosure</v>
      </c>
      <c r="D42" s="310">
        <f>IF(INDEX('NZS O&amp;G and CA100'!$D$5:$D$193, MATCH($A42, 'NZS O&amp;G and CA100'!$B$5:$B$193, 0)) =$B$4, INDEX('NZS O&amp;G and CA100'!$E$5:$N$193, MATCH($A42, 'NZS O&amp;G and CA100'!$B$5:$B$193, 0),MATCH(D$3, 'NZS O&amp;G and CA100'!$E$3:$N$3, 0)),"")</f>
        <v>1</v>
      </c>
      <c r="E42" s="311">
        <f>IF(INDEX('NZS O&amp;G and CA100'!$D$5:$D$193, MATCH($A42, 'NZS O&amp;G and CA100'!$B$5:$B$193, 0)) =$B$4, INDEX('NZS O&amp;G and CA100'!$E$5:$N$193, MATCH($A42, 'NZS O&amp;G and CA100'!$B$5:$B$193, 0),MATCH(E$3, 'NZS O&amp;G and CA100'!$E$3:$N$3, 0)),"")</f>
        <v>1</v>
      </c>
      <c r="F42" s="311">
        <f>IF(INDEX('NZS O&amp;G and CA100'!$D$5:$D$193, MATCH($A42, 'NZS O&amp;G and CA100'!$B$5:$B$193, 0)) =$B$4, INDEX('NZS O&amp;G and CA100'!$E$5:$N$193, MATCH($A42, 'NZS O&amp;G and CA100'!$B$5:$B$193, 0),MATCH(F$3, 'NZS O&amp;G and CA100'!$E$3:$N$3, 0)),"")</f>
        <v>0</v>
      </c>
      <c r="G42" s="311">
        <f>IF(INDEX('NZS O&amp;G and CA100'!$D$5:$D$193, MATCH($A42, 'NZS O&amp;G and CA100'!$B$5:$B$193, 0)) =$B$4, INDEX('NZS O&amp;G and CA100'!$E$5:$N$193, MATCH($A42, 'NZS O&amp;G and CA100'!$B$5:$B$193, 0),MATCH(G$3, 'NZS O&amp;G and CA100'!$E$3:$N$3, 0)),"")</f>
        <v>1</v>
      </c>
      <c r="H42" s="311">
        <f>IF(INDEX('NZS O&amp;G and CA100'!$D$5:$D$193, MATCH($A42, 'NZS O&amp;G and CA100'!$B$5:$B$193, 0)) =$B$4, INDEX('NZS O&amp;G and CA100'!$E$5:$N$193, MATCH($A42, 'NZS O&amp;G and CA100'!$B$5:$B$193, 0),MATCH(H$3, 'NZS O&amp;G and CA100'!$E$3:$N$3, 0)),"")</f>
        <v>1</v>
      </c>
      <c r="I42" s="311">
        <f>IF(INDEX('NZS O&amp;G and CA100'!$D$5:$D$193, MATCH($A42, 'NZS O&amp;G and CA100'!$B$5:$B$193, 0)) =$B$4, INDEX('NZS O&amp;G and CA100'!$E$5:$N$193, MATCH($A42, 'NZS O&amp;G and CA100'!$B$5:$B$193, 0),MATCH(I$3, 'NZS O&amp;G and CA100'!$E$3:$N$3, 0)),"")</f>
        <v>1</v>
      </c>
      <c r="J42" s="311">
        <f>IF(INDEX('NZS O&amp;G and CA100'!$D$5:$D$193, MATCH($A42, 'NZS O&amp;G and CA100'!$B$5:$B$193, 0)) =$B$4, INDEX('NZS O&amp;G and CA100'!$E$5:$N$193, MATCH($A42, 'NZS O&amp;G and CA100'!$B$5:$B$193, 0),MATCH(J$3, 'NZS O&amp;G and CA100'!$E$3:$N$3, 0)),"")</f>
        <v>1</v>
      </c>
      <c r="K42" s="311">
        <f>IF(INDEX('NZS O&amp;G and CA100'!$D$5:$D$193, MATCH($A42, 'NZS O&amp;G and CA100'!$B$5:$B$193, 0)) =$B$4, INDEX('NZS O&amp;G and CA100'!$E$5:$N$193, MATCH($A42, 'NZS O&amp;G and CA100'!$B$5:$B$193, 0),MATCH(K$3, 'NZS O&amp;G and CA100'!$E$3:$N$3, 0)),"")</f>
        <v>1</v>
      </c>
      <c r="L42" s="311">
        <f>IF(INDEX('NZS O&amp;G and CA100'!$D$5:$D$193, MATCH($A42, 'NZS O&amp;G and CA100'!$B$5:$B$193, 0)) =$B$4, INDEX('NZS O&amp;G and CA100'!$E$5:$N$193, MATCH($A42, 'NZS O&amp;G and CA100'!$B$5:$B$193, 0),MATCH(L$3, 'NZS O&amp;G and CA100'!$E$3:$N$3, 0)),"")</f>
        <v>0</v>
      </c>
      <c r="M42" s="312">
        <f>IF(INDEX('NZS O&amp;G and CA100'!$D$5:$D$193, MATCH($A42, 'NZS O&amp;G and CA100'!$B$5:$B$193, 0)) =$B$4, INDEX('NZS O&amp;G and CA100'!$E$5:$N$193, MATCH($A42, 'NZS O&amp;G and CA100'!$B$5:$B$193, 0),MATCH(M$3, 'NZS O&amp;G and CA100'!$E$3:$N$3, 0)),"")</f>
        <v>1</v>
      </c>
      <c r="O42" s="55"/>
      <c r="P42" s="56"/>
      <c r="Q42" s="56"/>
      <c r="R42" s="56"/>
      <c r="S42" s="56"/>
      <c r="T42" s="56"/>
      <c r="U42" s="56"/>
      <c r="V42" s="56"/>
      <c r="W42" s="56"/>
      <c r="X42" s="57"/>
      <c r="Z42" s="55"/>
      <c r="AA42" s="56"/>
      <c r="AB42" s="56"/>
      <c r="AC42" s="56"/>
      <c r="AD42" s="56"/>
      <c r="AE42" s="56"/>
      <c r="AF42" s="56"/>
      <c r="AG42" s="56"/>
      <c r="AH42" s="56"/>
      <c r="AI42" s="57"/>
      <c r="AK42" s="49"/>
      <c r="AL42" s="49"/>
      <c r="AM42" s="49"/>
      <c r="AN42" s="49"/>
      <c r="AO42" s="49"/>
    </row>
    <row r="43" spans="1:41" s="1" customFormat="1" ht="20.149999999999999" customHeight="1" outlineLevel="1">
      <c r="A43" s="302">
        <v>4.2</v>
      </c>
      <c r="B43" s="226" t="s">
        <v>96</v>
      </c>
      <c r="C43" s="227" t="str">
        <f>VLOOKUP(A43, 'NZS O&amp;G and CA100'!$B$7:$D$194, 3, FALSE)</f>
        <v/>
      </c>
      <c r="D43" s="310">
        <f>IF($B$4="Disclosure",(SUM(D44,D45)/COUNT(D44,D45)),"")</f>
        <v>1</v>
      </c>
      <c r="E43" s="311">
        <f t="shared" ref="E43:M43" si="16">IF($B$4="Disclosure",(SUM(E44,E45)/COUNT(E44,E45)),"")</f>
        <v>0</v>
      </c>
      <c r="F43" s="311">
        <f t="shared" si="16"/>
        <v>0</v>
      </c>
      <c r="G43" s="311">
        <f t="shared" si="16"/>
        <v>0.5</v>
      </c>
      <c r="H43" s="311">
        <f t="shared" si="16"/>
        <v>0</v>
      </c>
      <c r="I43" s="311">
        <f t="shared" si="16"/>
        <v>0.5</v>
      </c>
      <c r="J43" s="311">
        <f t="shared" si="16"/>
        <v>0.5</v>
      </c>
      <c r="K43" s="311">
        <f t="shared" si="16"/>
        <v>1</v>
      </c>
      <c r="L43" s="311">
        <f t="shared" si="16"/>
        <v>0</v>
      </c>
      <c r="M43" s="312">
        <f t="shared" si="16"/>
        <v>1</v>
      </c>
      <c r="O43" s="55"/>
      <c r="P43" s="56"/>
      <c r="Q43" s="56"/>
      <c r="R43" s="56"/>
      <c r="S43" s="56"/>
      <c r="T43" s="56"/>
      <c r="U43" s="56"/>
      <c r="V43" s="56"/>
      <c r="W43" s="56"/>
      <c r="X43" s="57"/>
      <c r="Z43" s="55"/>
      <c r="AA43" s="56"/>
      <c r="AB43" s="56"/>
      <c r="AC43" s="56"/>
      <c r="AD43" s="56"/>
      <c r="AE43" s="56"/>
      <c r="AF43" s="56"/>
      <c r="AG43" s="56"/>
      <c r="AH43" s="56"/>
      <c r="AI43" s="57"/>
      <c r="AK43" s="49"/>
      <c r="AL43" s="49"/>
      <c r="AM43" s="49"/>
      <c r="AN43" s="49"/>
      <c r="AO43" s="49"/>
    </row>
    <row r="44" spans="1:41" s="1" customFormat="1" ht="20.149999999999999" customHeight="1" outlineLevel="2">
      <c r="A44" s="302" t="s">
        <v>287</v>
      </c>
      <c r="B44" s="228" t="s">
        <v>97</v>
      </c>
      <c r="C44" s="227" t="str">
        <f>VLOOKUP(A44, 'NZS O&amp;G and CA100'!$B$7:$D$194, 3, FALSE)</f>
        <v>Disclosure</v>
      </c>
      <c r="D44" s="310">
        <f>IF(INDEX('NZS O&amp;G and CA100'!$D$5:$D$193, MATCH($A44, 'NZS O&amp;G and CA100'!$B$5:$B$193, 0)) =$B$4, INDEX('NZS O&amp;G and CA100'!$E$5:$N$193, MATCH($A44, 'NZS O&amp;G and CA100'!$B$5:$B$193, 0),MATCH(D$3, 'NZS O&amp;G and CA100'!$E$3:$N$3, 0)),"")</f>
        <v>1</v>
      </c>
      <c r="E44" s="311">
        <f>IF(INDEX('NZS O&amp;G and CA100'!$D$5:$D$193, MATCH($A44, 'NZS O&amp;G and CA100'!$B$5:$B$193, 0)) =$B$4, INDEX('NZS O&amp;G and CA100'!$E$5:$N$193, MATCH($A44, 'NZS O&amp;G and CA100'!$B$5:$B$193, 0),MATCH(E$3, 'NZS O&amp;G and CA100'!$E$3:$N$3, 0)),"")</f>
        <v>0</v>
      </c>
      <c r="F44" s="311">
        <f>IF(INDEX('NZS O&amp;G and CA100'!$D$5:$D$193, MATCH($A44, 'NZS O&amp;G and CA100'!$B$5:$B$193, 0)) =$B$4, INDEX('NZS O&amp;G and CA100'!$E$5:$N$193, MATCH($A44, 'NZS O&amp;G and CA100'!$B$5:$B$193, 0),MATCH(F$3, 'NZS O&amp;G and CA100'!$E$3:$N$3, 0)),"")</f>
        <v>0</v>
      </c>
      <c r="G44" s="311">
        <f>IF(INDEX('NZS O&amp;G and CA100'!$D$5:$D$193, MATCH($A44, 'NZS O&amp;G and CA100'!$B$5:$B$193, 0)) =$B$4, INDEX('NZS O&amp;G and CA100'!$E$5:$N$193, MATCH($A44, 'NZS O&amp;G and CA100'!$B$5:$B$193, 0),MATCH(G$3, 'NZS O&amp;G and CA100'!$E$3:$N$3, 0)),"")</f>
        <v>1</v>
      </c>
      <c r="H44" s="311">
        <f>IF(INDEX('NZS O&amp;G and CA100'!$D$5:$D$193, MATCH($A44, 'NZS O&amp;G and CA100'!$B$5:$B$193, 0)) =$B$4, INDEX('NZS O&amp;G and CA100'!$E$5:$N$193, MATCH($A44, 'NZS O&amp;G and CA100'!$B$5:$B$193, 0),MATCH(H$3, 'NZS O&amp;G and CA100'!$E$3:$N$3, 0)),"")</f>
        <v>0</v>
      </c>
      <c r="I44" s="311">
        <f>IF(INDEX('NZS O&amp;G and CA100'!$D$5:$D$193, MATCH($A44, 'NZS O&amp;G and CA100'!$B$5:$B$193, 0)) =$B$4, INDEX('NZS O&amp;G and CA100'!$E$5:$N$193, MATCH($A44, 'NZS O&amp;G and CA100'!$B$5:$B$193, 0),MATCH(I$3, 'NZS O&amp;G and CA100'!$E$3:$N$3, 0)),"")</f>
        <v>1</v>
      </c>
      <c r="J44" s="311">
        <f>IF(INDEX('NZS O&amp;G and CA100'!$D$5:$D$193, MATCH($A44, 'NZS O&amp;G and CA100'!$B$5:$B$193, 0)) =$B$4, INDEX('NZS O&amp;G and CA100'!$E$5:$N$193, MATCH($A44, 'NZS O&amp;G and CA100'!$B$5:$B$193, 0),MATCH(J$3, 'NZS O&amp;G and CA100'!$E$3:$N$3, 0)),"")</f>
        <v>1</v>
      </c>
      <c r="K44" s="311">
        <f>IF(INDEX('NZS O&amp;G and CA100'!$D$5:$D$193, MATCH($A44, 'NZS O&amp;G and CA100'!$B$5:$B$193, 0)) =$B$4, INDEX('NZS O&amp;G and CA100'!$E$5:$N$193, MATCH($A44, 'NZS O&amp;G and CA100'!$B$5:$B$193, 0),MATCH(K$3, 'NZS O&amp;G and CA100'!$E$3:$N$3, 0)),"")</f>
        <v>1</v>
      </c>
      <c r="L44" s="311">
        <f>IF(INDEX('NZS O&amp;G and CA100'!$D$5:$D$193, MATCH($A44, 'NZS O&amp;G and CA100'!$B$5:$B$193, 0)) =$B$4, INDEX('NZS O&amp;G and CA100'!$E$5:$N$193, MATCH($A44, 'NZS O&amp;G and CA100'!$B$5:$B$193, 0),MATCH(L$3, 'NZS O&amp;G and CA100'!$E$3:$N$3, 0)),"")</f>
        <v>0</v>
      </c>
      <c r="M44" s="312">
        <f>IF(INDEX('NZS O&amp;G and CA100'!$D$5:$D$193, MATCH($A44, 'NZS O&amp;G and CA100'!$B$5:$B$193, 0)) =$B$4, INDEX('NZS O&amp;G and CA100'!$E$5:$N$193, MATCH($A44, 'NZS O&amp;G and CA100'!$B$5:$B$193, 0),MATCH(M$3, 'NZS O&amp;G and CA100'!$E$3:$N$3, 0)),"")</f>
        <v>1</v>
      </c>
      <c r="O44" s="55"/>
      <c r="P44" s="56"/>
      <c r="Q44" s="56"/>
      <c r="R44" s="56"/>
      <c r="S44" s="56"/>
      <c r="T44" s="56"/>
      <c r="U44" s="56"/>
      <c r="V44" s="56"/>
      <c r="W44" s="56"/>
      <c r="X44" s="57"/>
      <c r="Z44" s="55"/>
      <c r="AA44" s="56"/>
      <c r="AB44" s="56"/>
      <c r="AC44" s="56"/>
      <c r="AD44" s="56"/>
      <c r="AE44" s="56"/>
      <c r="AF44" s="56"/>
      <c r="AG44" s="56"/>
      <c r="AH44" s="56"/>
      <c r="AI44" s="57"/>
      <c r="AK44" s="49"/>
      <c r="AL44" s="49"/>
      <c r="AM44" s="49"/>
      <c r="AN44" s="49"/>
      <c r="AO44" s="49"/>
    </row>
    <row r="45" spans="1:41" s="1" customFormat="1" ht="20.149999999999999" customHeight="1" outlineLevel="2">
      <c r="A45" s="302" t="s">
        <v>288</v>
      </c>
      <c r="B45" s="228" t="s">
        <v>289</v>
      </c>
      <c r="C45" s="227" t="str">
        <f>VLOOKUP(A45, 'NZS O&amp;G and CA100'!$B$7:$D$194, 3, FALSE)</f>
        <v>Disclosure</v>
      </c>
      <c r="D45" s="310">
        <f>IF(INDEX('NZS O&amp;G and CA100'!$D$5:$D$193, MATCH($A45, 'NZS O&amp;G and CA100'!$B$5:$B$193, 0)) =$B$4, INDEX('NZS O&amp;G and CA100'!$E$5:$N$193, MATCH($A45, 'NZS O&amp;G and CA100'!$B$5:$B$193, 0),MATCH(D$3, 'NZS O&amp;G and CA100'!$E$3:$N$3, 0)),"")</f>
        <v>1</v>
      </c>
      <c r="E45" s="311">
        <f>IF(INDEX('NZS O&amp;G and CA100'!$D$5:$D$193, MATCH($A45, 'NZS O&amp;G and CA100'!$B$5:$B$193, 0)) =$B$4, INDEX('NZS O&amp;G and CA100'!$E$5:$N$193, MATCH($A45, 'NZS O&amp;G and CA100'!$B$5:$B$193, 0),MATCH(E$3, 'NZS O&amp;G and CA100'!$E$3:$N$3, 0)),"")</f>
        <v>0</v>
      </c>
      <c r="F45" s="311">
        <f>IF(INDEX('NZS O&amp;G and CA100'!$D$5:$D$193, MATCH($A45, 'NZS O&amp;G and CA100'!$B$5:$B$193, 0)) =$B$4, INDEX('NZS O&amp;G and CA100'!$E$5:$N$193, MATCH($A45, 'NZS O&amp;G and CA100'!$B$5:$B$193, 0),MATCH(F$3, 'NZS O&amp;G and CA100'!$E$3:$N$3, 0)),"")</f>
        <v>0</v>
      </c>
      <c r="G45" s="311">
        <f>IF(INDEX('NZS O&amp;G and CA100'!$D$5:$D$193, MATCH($A45, 'NZS O&amp;G and CA100'!$B$5:$B$193, 0)) =$B$4, INDEX('NZS O&amp;G and CA100'!$E$5:$N$193, MATCH($A45, 'NZS O&amp;G and CA100'!$B$5:$B$193, 0),MATCH(G$3, 'NZS O&amp;G and CA100'!$E$3:$N$3, 0)),"")</f>
        <v>0</v>
      </c>
      <c r="H45" s="311">
        <f>IF(INDEX('NZS O&amp;G and CA100'!$D$5:$D$193, MATCH($A45, 'NZS O&amp;G and CA100'!$B$5:$B$193, 0)) =$B$4, INDEX('NZS O&amp;G and CA100'!$E$5:$N$193, MATCH($A45, 'NZS O&amp;G and CA100'!$B$5:$B$193, 0),MATCH(H$3, 'NZS O&amp;G and CA100'!$E$3:$N$3, 0)),"")</f>
        <v>0</v>
      </c>
      <c r="I45" s="311">
        <f>IF(INDEX('NZS O&amp;G and CA100'!$D$5:$D$193, MATCH($A45, 'NZS O&amp;G and CA100'!$B$5:$B$193, 0)) =$B$4, INDEX('NZS O&amp;G and CA100'!$E$5:$N$193, MATCH($A45, 'NZS O&amp;G and CA100'!$B$5:$B$193, 0),MATCH(I$3, 'NZS O&amp;G and CA100'!$E$3:$N$3, 0)),"")</f>
        <v>0</v>
      </c>
      <c r="J45" s="311">
        <f>IF(INDEX('NZS O&amp;G and CA100'!$D$5:$D$193, MATCH($A45, 'NZS O&amp;G and CA100'!$B$5:$B$193, 0)) =$B$4, INDEX('NZS O&amp;G and CA100'!$E$5:$N$193, MATCH($A45, 'NZS O&amp;G and CA100'!$B$5:$B$193, 0),MATCH(J$3, 'NZS O&amp;G and CA100'!$E$3:$N$3, 0)),"")</f>
        <v>0</v>
      </c>
      <c r="K45" s="311">
        <f>IF(INDEX('NZS O&amp;G and CA100'!$D$5:$D$193, MATCH($A45, 'NZS O&amp;G and CA100'!$B$5:$B$193, 0)) =$B$4, INDEX('NZS O&amp;G and CA100'!$E$5:$N$193, MATCH($A45, 'NZS O&amp;G and CA100'!$B$5:$B$193, 0),MATCH(K$3, 'NZS O&amp;G and CA100'!$E$3:$N$3, 0)),"")</f>
        <v>1</v>
      </c>
      <c r="L45" s="311">
        <f>IF(INDEX('NZS O&amp;G and CA100'!$D$5:$D$193, MATCH($A45, 'NZS O&amp;G and CA100'!$B$5:$B$193, 0)) =$B$4, INDEX('NZS O&amp;G and CA100'!$E$5:$N$193, MATCH($A45, 'NZS O&amp;G and CA100'!$B$5:$B$193, 0),MATCH(L$3, 'NZS O&amp;G and CA100'!$E$3:$N$3, 0)),"")</f>
        <v>0</v>
      </c>
      <c r="M45" s="312">
        <f>IF(INDEX('NZS O&amp;G and CA100'!$D$5:$D$193, MATCH($A45, 'NZS O&amp;G and CA100'!$B$5:$B$193, 0)) =$B$4, INDEX('NZS O&amp;G and CA100'!$E$5:$N$193, MATCH($A45, 'NZS O&amp;G and CA100'!$B$5:$B$193, 0),MATCH(M$3, 'NZS O&amp;G and CA100'!$E$3:$N$3, 0)),"")</f>
        <v>1</v>
      </c>
      <c r="O45" s="55"/>
      <c r="P45" s="56"/>
      <c r="Q45" s="56"/>
      <c r="R45" s="56"/>
      <c r="S45" s="56"/>
      <c r="T45" s="56"/>
      <c r="U45" s="56"/>
      <c r="V45" s="56"/>
      <c r="W45" s="56"/>
      <c r="X45" s="57"/>
      <c r="Z45" s="55"/>
      <c r="AA45" s="56"/>
      <c r="AB45" s="56"/>
      <c r="AC45" s="56"/>
      <c r="AD45" s="56"/>
      <c r="AE45" s="56"/>
      <c r="AF45" s="56"/>
      <c r="AG45" s="56"/>
      <c r="AH45" s="56"/>
      <c r="AI45" s="57"/>
      <c r="AK45" s="49"/>
      <c r="AL45" s="49"/>
      <c r="AM45" s="49"/>
      <c r="AN45" s="49"/>
      <c r="AO45" s="49"/>
    </row>
    <row r="46" spans="1:41" s="1" customFormat="1" ht="17.149999999999999" customHeight="1" outlineLevel="1">
      <c r="A46" s="302">
        <v>4.3</v>
      </c>
      <c r="B46" s="226" t="s">
        <v>290</v>
      </c>
      <c r="C46" s="227" t="str">
        <f>VLOOKUP(A46, 'NZS O&amp;G and CA100'!$B$7:$D$194, 3, FALSE)</f>
        <v>Alignment</v>
      </c>
      <c r="D46" s="310" t="str">
        <f>IF(INDEX('NZS O&amp;G and CA100'!$D$5:$D$193, MATCH($A46, 'NZS O&amp;G and CA100'!$B$5:$B$193, 0)) =$B$4, INDEX('NZS O&amp;G and CA100'!$E$5:$N$193, MATCH($A46, 'NZS O&amp;G and CA100'!$B$5:$B$193, 0),MATCH(D$3, 'NZS O&amp;G and CA100'!$E$3:$N$3, 0)),"")</f>
        <v/>
      </c>
      <c r="E46" s="311" t="str">
        <f>IF(INDEX('NZS O&amp;G and CA100'!$D$5:$D$193, MATCH($A46, 'NZS O&amp;G and CA100'!$B$5:$B$193, 0)) =$B$4, INDEX('NZS O&amp;G and CA100'!$E$5:$N$193, MATCH($A46, 'NZS O&amp;G and CA100'!$B$5:$B$193, 0),MATCH(E$3, 'NZS O&amp;G and CA100'!$E$3:$N$3, 0)),"")</f>
        <v/>
      </c>
      <c r="F46" s="311" t="str">
        <f>IF(INDEX('NZS O&amp;G and CA100'!$D$5:$D$193, MATCH($A46, 'NZS O&amp;G and CA100'!$B$5:$B$193, 0)) =$B$4, INDEX('NZS O&amp;G and CA100'!$E$5:$N$193, MATCH($A46, 'NZS O&amp;G and CA100'!$B$5:$B$193, 0),MATCH(F$3, 'NZS O&amp;G and CA100'!$E$3:$N$3, 0)),"")</f>
        <v/>
      </c>
      <c r="G46" s="311" t="str">
        <f>IF(INDEX('NZS O&amp;G and CA100'!$D$5:$D$193, MATCH($A46, 'NZS O&amp;G and CA100'!$B$5:$B$193, 0)) =$B$4, INDEX('NZS O&amp;G and CA100'!$E$5:$N$193, MATCH($A46, 'NZS O&amp;G and CA100'!$B$5:$B$193, 0),MATCH(G$3, 'NZS O&amp;G and CA100'!$E$3:$N$3, 0)),"")</f>
        <v/>
      </c>
      <c r="H46" s="311" t="str">
        <f>IF(INDEX('NZS O&amp;G and CA100'!$D$5:$D$193, MATCH($A46, 'NZS O&amp;G and CA100'!$B$5:$B$193, 0)) =$B$4, INDEX('NZS O&amp;G and CA100'!$E$5:$N$193, MATCH($A46, 'NZS O&amp;G and CA100'!$B$5:$B$193, 0),MATCH(H$3, 'NZS O&amp;G and CA100'!$E$3:$N$3, 0)),"")</f>
        <v/>
      </c>
      <c r="I46" s="311" t="str">
        <f>IF(INDEX('NZS O&amp;G and CA100'!$D$5:$D$193, MATCH($A46, 'NZS O&amp;G and CA100'!$B$5:$B$193, 0)) =$B$4, INDEX('NZS O&amp;G and CA100'!$E$5:$N$193, MATCH($A46, 'NZS O&amp;G and CA100'!$B$5:$B$193, 0),MATCH(I$3, 'NZS O&amp;G and CA100'!$E$3:$N$3, 0)),"")</f>
        <v/>
      </c>
      <c r="J46" s="311" t="str">
        <f>IF(INDEX('NZS O&amp;G and CA100'!$D$5:$D$193, MATCH($A46, 'NZS O&amp;G and CA100'!$B$5:$B$193, 0)) =$B$4, INDEX('NZS O&amp;G and CA100'!$E$5:$N$193, MATCH($A46, 'NZS O&amp;G and CA100'!$B$5:$B$193, 0),MATCH(J$3, 'NZS O&amp;G and CA100'!$E$3:$N$3, 0)),"")</f>
        <v/>
      </c>
      <c r="K46" s="311" t="str">
        <f>IF(INDEX('NZS O&amp;G and CA100'!$D$5:$D$193, MATCH($A46, 'NZS O&amp;G and CA100'!$B$5:$B$193, 0)) =$B$4, INDEX('NZS O&amp;G and CA100'!$E$5:$N$193, MATCH($A46, 'NZS O&amp;G and CA100'!$B$5:$B$193, 0),MATCH(K$3, 'NZS O&amp;G and CA100'!$E$3:$N$3, 0)),"")</f>
        <v/>
      </c>
      <c r="L46" s="311" t="str">
        <f>IF(INDEX('NZS O&amp;G and CA100'!$D$5:$D$193, MATCH($A46, 'NZS O&amp;G and CA100'!$B$5:$B$193, 0)) =$B$4, INDEX('NZS O&amp;G and CA100'!$E$5:$N$193, MATCH($A46, 'NZS O&amp;G and CA100'!$B$5:$B$193, 0),MATCH(L$3, 'NZS O&amp;G and CA100'!$E$3:$N$3, 0)),"")</f>
        <v/>
      </c>
      <c r="M46" s="312" t="str">
        <f>IF(INDEX('NZS O&amp;G and CA100'!$D$5:$D$193, MATCH($A46, 'NZS O&amp;G and CA100'!$B$5:$B$193, 0)) =$B$4, INDEX('NZS O&amp;G and CA100'!$E$5:$N$193, MATCH($A46, 'NZS O&amp;G and CA100'!$B$5:$B$193, 0),MATCH(M$3, 'NZS O&amp;G and CA100'!$E$3:$N$3, 0)),"")</f>
        <v/>
      </c>
      <c r="O46" s="55">
        <f>IF(INDEX('NZS O&amp;G and CA100'!$D$5:$D$193, MATCH($A46, 'NZS O&amp;G and CA100'!$B$5:$B$193, 0)) = "Alignment", INDEX('NZS O&amp;G and CA100'!$E$5:$N$193, MATCH($A46, 'NZS O&amp;G and CA100'!$B$5:$B$193, 0),MATCH(O$4, 'NZS O&amp;G and CA100'!$E$3:$N$3, 0)),"")</f>
        <v>0</v>
      </c>
      <c r="P46" s="56">
        <f>IF(INDEX('NZS O&amp;G and CA100'!$D$5:$D$193, MATCH($A46, 'NZS O&amp;G and CA100'!$B$5:$B$193, 0)) = "Alignment", INDEX('NZS O&amp;G and CA100'!$E$5:$N$193, MATCH($A46, 'NZS O&amp;G and CA100'!$B$5:$B$193, 0),MATCH(P$4, 'NZS O&amp;G and CA100'!$E$3:$N$3, 0)),"")</f>
        <v>0</v>
      </c>
      <c r="Q46" s="56">
        <f>IF(INDEX('NZS O&amp;G and CA100'!$D$5:$D$193, MATCH($A46, 'NZS O&amp;G and CA100'!$B$5:$B$193, 0)) = "Alignment", INDEX('NZS O&amp;G and CA100'!$E$5:$N$193, MATCH($A46, 'NZS O&amp;G and CA100'!$B$5:$B$193, 0),MATCH(Q$4, 'NZS O&amp;G and CA100'!$E$3:$N$3, 0)),"")</f>
        <v>0</v>
      </c>
      <c r="R46" s="56">
        <f>IF(INDEX('NZS O&amp;G and CA100'!$D$5:$D$193, MATCH($A46, 'NZS O&amp;G and CA100'!$B$5:$B$193, 0)) = "Alignment", INDEX('NZS O&amp;G and CA100'!$E$5:$N$193, MATCH($A46, 'NZS O&amp;G and CA100'!$B$5:$B$193, 0),MATCH(R$4, 'NZS O&amp;G and CA100'!$E$3:$N$3, 0)),"")</f>
        <v>0</v>
      </c>
      <c r="S46" s="56">
        <f>IF(INDEX('NZS O&amp;G and CA100'!$D$5:$D$193, MATCH($A46, 'NZS O&amp;G and CA100'!$B$5:$B$193, 0)) = "Alignment", INDEX('NZS O&amp;G and CA100'!$E$5:$N$193, MATCH($A46, 'NZS O&amp;G and CA100'!$B$5:$B$193, 0),MATCH(S$4, 'NZS O&amp;G and CA100'!$E$3:$N$3, 0)),"")</f>
        <v>0</v>
      </c>
      <c r="T46" s="56">
        <f>IF(INDEX('NZS O&amp;G and CA100'!$D$5:$D$193, MATCH($A46, 'NZS O&amp;G and CA100'!$B$5:$B$193, 0)) = "Alignment", INDEX('NZS O&amp;G and CA100'!$E$5:$N$193, MATCH($A46, 'NZS O&amp;G and CA100'!$B$5:$B$193, 0),MATCH(T$4, 'NZS O&amp;G and CA100'!$E$3:$N$3, 0)),"")</f>
        <v>0</v>
      </c>
      <c r="U46" s="56">
        <f>IF(INDEX('NZS O&amp;G and CA100'!$D$5:$D$193, MATCH($A46, 'NZS O&amp;G and CA100'!$B$5:$B$193, 0)) = "Alignment", INDEX('NZS O&amp;G and CA100'!$E$5:$N$193, MATCH($A46, 'NZS O&amp;G and CA100'!$B$5:$B$193, 0),MATCH(U$4, 'NZS O&amp;G and CA100'!$E$3:$N$3, 0)),"")</f>
        <v>0</v>
      </c>
      <c r="V46" s="56">
        <f>IF(INDEX('NZS O&amp;G and CA100'!$D$5:$D$193, MATCH($A46, 'NZS O&amp;G and CA100'!$B$5:$B$193, 0)) = "Alignment", INDEX('NZS O&amp;G and CA100'!$E$5:$N$193, MATCH($A46, 'NZS O&amp;G and CA100'!$B$5:$B$193, 0),MATCH(V$4, 'NZS O&amp;G and CA100'!$E$3:$N$3, 0)),"")</f>
        <v>0</v>
      </c>
      <c r="W46" s="56">
        <f>IF(INDEX('NZS O&amp;G and CA100'!$D$5:$D$193, MATCH($A46, 'NZS O&amp;G and CA100'!$B$5:$B$193, 0)) = "Alignment", INDEX('NZS O&amp;G and CA100'!$E$5:$N$193, MATCH($A46, 'NZS O&amp;G and CA100'!$B$5:$B$193, 0),MATCH(L$3, 'NZS O&amp;G and CA100'!$E$3:$N$3, 0)),"")</f>
        <v>0</v>
      </c>
      <c r="X46" s="57">
        <f>IF(INDEX('NZS O&amp;G and CA100'!$D$5:$D$193, MATCH($A46, 'NZS O&amp;G and CA100'!$B$5:$B$193, 0)) = "Alignment", INDEX('NZS O&amp;G and CA100'!$E$5:$N$193, MATCH($A46, 'NZS O&amp;G and CA100'!$B$5:$B$193, 0),MATCH(M$3, 'NZS O&amp;G and CA100'!$E$3:$N$3, 0)),"")</f>
        <v>0</v>
      </c>
      <c r="Z46" s="55"/>
      <c r="AA46" s="56"/>
      <c r="AB46" s="56"/>
      <c r="AC46" s="56"/>
      <c r="AD46" s="56"/>
      <c r="AE46" s="56"/>
      <c r="AF46" s="56"/>
      <c r="AG46" s="56"/>
      <c r="AH46" s="56"/>
      <c r="AI46" s="57"/>
      <c r="AK46" s="49"/>
      <c r="AL46" s="49"/>
      <c r="AM46" s="49"/>
      <c r="AN46" s="49"/>
      <c r="AO46" s="49"/>
    </row>
    <row r="47" spans="1:41" s="1" customFormat="1" ht="6.65" customHeight="1" outlineLevel="1">
      <c r="A47" s="302"/>
      <c r="B47" s="231"/>
      <c r="C47" s="232"/>
      <c r="D47" s="55"/>
      <c r="E47" s="56"/>
      <c r="F47" s="56"/>
      <c r="G47" s="56"/>
      <c r="H47" s="56"/>
      <c r="I47" s="56"/>
      <c r="J47" s="56"/>
      <c r="K47" s="56"/>
      <c r="L47" s="56"/>
      <c r="M47" s="57"/>
      <c r="O47" s="55"/>
      <c r="P47" s="56"/>
      <c r="Q47" s="56"/>
      <c r="R47" s="56"/>
      <c r="S47" s="56"/>
      <c r="T47" s="56"/>
      <c r="U47" s="56"/>
      <c r="V47" s="56"/>
      <c r="W47" s="56"/>
      <c r="X47" s="57"/>
      <c r="Z47" s="55"/>
      <c r="AA47" s="56"/>
      <c r="AB47" s="56"/>
      <c r="AC47" s="56"/>
      <c r="AD47" s="56"/>
      <c r="AE47" s="56"/>
      <c r="AF47" s="56"/>
      <c r="AG47" s="56"/>
      <c r="AH47" s="56"/>
      <c r="AI47" s="57"/>
      <c r="AK47" s="49"/>
      <c r="AL47" s="49"/>
      <c r="AM47" s="49"/>
      <c r="AN47" s="49"/>
      <c r="AO47" s="49"/>
    </row>
    <row r="48" spans="1:41" s="1" customFormat="1" ht="18.649999999999999" customHeight="1" thickBot="1">
      <c r="A48" s="302"/>
      <c r="B48" s="229" t="s">
        <v>81</v>
      </c>
      <c r="C48" s="230"/>
      <c r="D48" s="58"/>
      <c r="E48" s="59"/>
      <c r="F48" s="59"/>
      <c r="G48" s="59"/>
      <c r="H48" s="59"/>
      <c r="I48" s="59"/>
      <c r="J48" s="59"/>
      <c r="K48" s="59"/>
      <c r="L48" s="59"/>
      <c r="M48" s="60"/>
      <c r="O48" s="58"/>
      <c r="P48" s="59"/>
      <c r="Q48" s="59"/>
      <c r="R48" s="59"/>
      <c r="S48" s="59"/>
      <c r="T48" s="59"/>
      <c r="U48" s="59"/>
      <c r="V48" s="59"/>
      <c r="W48" s="59"/>
      <c r="X48" s="60"/>
      <c r="Z48" s="58"/>
      <c r="AA48" s="59"/>
      <c r="AB48" s="59"/>
      <c r="AC48" s="59"/>
      <c r="AD48" s="59"/>
      <c r="AE48" s="59"/>
      <c r="AF48" s="59"/>
      <c r="AG48" s="59"/>
      <c r="AH48" s="59"/>
      <c r="AI48" s="60"/>
      <c r="AK48" s="49"/>
      <c r="AL48" s="49"/>
      <c r="AM48" s="49"/>
      <c r="AN48" s="49"/>
      <c r="AO48" s="49"/>
    </row>
    <row r="49" spans="1:41" s="1" customFormat="1" ht="18.649999999999999" customHeight="1">
      <c r="A49" s="302"/>
      <c r="B49" s="237"/>
      <c r="C49" s="65"/>
      <c r="D49" s="61"/>
      <c r="E49" s="62"/>
      <c r="F49" s="62"/>
      <c r="G49" s="62"/>
      <c r="H49" s="62"/>
      <c r="I49" s="62"/>
      <c r="J49" s="62"/>
      <c r="K49" s="62"/>
      <c r="L49" s="62"/>
      <c r="M49" s="63"/>
      <c r="O49" s="61"/>
      <c r="P49" s="62"/>
      <c r="Q49" s="62"/>
      <c r="R49" s="62"/>
      <c r="S49" s="62"/>
      <c r="T49" s="62"/>
      <c r="U49" s="62"/>
      <c r="V49" s="62"/>
      <c r="W49" s="62"/>
      <c r="X49" s="63"/>
      <c r="Z49" s="61"/>
      <c r="AA49" s="62"/>
      <c r="AB49" s="62"/>
      <c r="AC49" s="62"/>
      <c r="AD49" s="62"/>
      <c r="AE49" s="62"/>
      <c r="AF49" s="62"/>
      <c r="AG49" s="62"/>
      <c r="AH49" s="62"/>
      <c r="AI49" s="63"/>
      <c r="AK49" s="49"/>
      <c r="AL49" s="49"/>
      <c r="AM49" s="49"/>
      <c r="AN49" s="49"/>
      <c r="AO49" s="49"/>
    </row>
    <row r="50" spans="1:41" s="1" customFormat="1" ht="20.149999999999999" customHeight="1">
      <c r="A50" s="302">
        <v>5</v>
      </c>
      <c r="B50" s="376" t="s">
        <v>100</v>
      </c>
      <c r="C50" s="377"/>
      <c r="D50" s="307">
        <f>IF($B$4="Climate Solutions",D72,(SUM(D51, D57, D72,D82,D90)/COUNT(D51, D57, D72,D82,D90)))</f>
        <v>0.26805555555555555</v>
      </c>
      <c r="E50" s="308">
        <f t="shared" ref="E50:M50" si="17">IF($B$4="Climate Solutions",E72,(SUM(E51, E57, E72,E82,E90)/COUNT(E51, E57, E72,E82,E90)))</f>
        <v>0.19166666666666665</v>
      </c>
      <c r="F50" s="308">
        <f t="shared" si="17"/>
        <v>0.18055555555555555</v>
      </c>
      <c r="G50" s="308">
        <f>IF($B$4="Climate Solutions",G72,(SUM(G51, G57, G72,G82,G90)/COUNT(G51, G57, G72,G82,G90)))</f>
        <v>0.29924242424242425</v>
      </c>
      <c r="H50" s="308">
        <f t="shared" si="17"/>
        <v>4.1666666666666664E-2</v>
      </c>
      <c r="I50" s="308">
        <f t="shared" si="17"/>
        <v>0.10256410256410256</v>
      </c>
      <c r="J50" s="308">
        <f t="shared" si="17"/>
        <v>0.2967948717948718</v>
      </c>
      <c r="K50" s="308">
        <f t="shared" si="17"/>
        <v>0.22411616161616163</v>
      </c>
      <c r="L50" s="308">
        <f t="shared" si="17"/>
        <v>0</v>
      </c>
      <c r="M50" s="309">
        <f t="shared" si="17"/>
        <v>0.49905303030303028</v>
      </c>
      <c r="O50" s="55">
        <f>SUM(O57, O82,O90)/COUNT(O57, O82,O90)</f>
        <v>0.1</v>
      </c>
      <c r="P50" s="56">
        <f t="shared" ref="P50:X50" si="18">SUM(P51, P57, P72,P82,P90)/COUNT(P51, P57, P72,P82,P90)</f>
        <v>0</v>
      </c>
      <c r="Q50" s="56">
        <f t="shared" si="18"/>
        <v>0</v>
      </c>
      <c r="R50" s="56">
        <f t="shared" si="18"/>
        <v>0.5</v>
      </c>
      <c r="S50" s="56">
        <f t="shared" si="18"/>
        <v>0</v>
      </c>
      <c r="T50" s="56">
        <f t="shared" si="18"/>
        <v>0</v>
      </c>
      <c r="U50" s="56">
        <f t="shared" si="18"/>
        <v>0</v>
      </c>
      <c r="V50" s="56">
        <f t="shared" si="18"/>
        <v>0.1</v>
      </c>
      <c r="W50" s="56">
        <f t="shared" si="18"/>
        <v>0</v>
      </c>
      <c r="X50" s="57">
        <f t="shared" si="18"/>
        <v>0.625</v>
      </c>
      <c r="Z50" s="55" t="e">
        <f>Z72</f>
        <v>#DIV/0!</v>
      </c>
      <c r="AA50" s="56" t="e">
        <f t="shared" ref="AA50:AI50" si="19">SUM(AA51, AA57, AA72,AA82,AA90)/COUNT(AA51, AA57, AA72,AA82,AA90)</f>
        <v>#DIV/0!</v>
      </c>
      <c r="AB50" s="56" t="e">
        <f t="shared" si="19"/>
        <v>#DIV/0!</v>
      </c>
      <c r="AC50" s="56" t="e">
        <f t="shared" si="19"/>
        <v>#DIV/0!</v>
      </c>
      <c r="AD50" s="56" t="e">
        <f t="shared" si="19"/>
        <v>#DIV/0!</v>
      </c>
      <c r="AE50" s="56" t="e">
        <f t="shared" si="19"/>
        <v>#DIV/0!</v>
      </c>
      <c r="AF50" s="56" t="e">
        <f t="shared" si="19"/>
        <v>#DIV/0!</v>
      </c>
      <c r="AG50" s="56" t="e">
        <f t="shared" si="19"/>
        <v>#DIV/0!</v>
      </c>
      <c r="AH50" s="56" t="e">
        <f t="shared" si="19"/>
        <v>#DIV/0!</v>
      </c>
      <c r="AI50" s="57" t="e">
        <f t="shared" si="19"/>
        <v>#DIV/0!</v>
      </c>
      <c r="AK50" s="49"/>
      <c r="AL50" s="49"/>
      <c r="AM50" s="49"/>
      <c r="AN50" s="49"/>
      <c r="AO50" s="49"/>
    </row>
    <row r="51" spans="1:41" s="1" customFormat="1" ht="20.149999999999999" customHeight="1" outlineLevel="1">
      <c r="A51" s="302">
        <v>5.0999999999999996</v>
      </c>
      <c r="B51" s="237" t="s">
        <v>291</v>
      </c>
      <c r="C51" s="65" t="str">
        <f>VLOOKUP(A51, 'NZS O&amp;G and CA100'!$B$7:$D$194, 3, FALSE)</f>
        <v/>
      </c>
      <c r="D51" s="310">
        <f>IF($B$4="Disclosure",(SUM(D52, D53, D54, D55,D56)/COUNT(D52, D53, D54, D55, D56)),"")</f>
        <v>0.25</v>
      </c>
      <c r="E51" s="311">
        <f t="shared" ref="E51:M51" si="20">IF($B$4="Disclosure",(SUM(E52, E53, E54, E55,E56)/COUNT(E52, E53, E54, E55, E56)),"")</f>
        <v>0.5</v>
      </c>
      <c r="F51" s="311">
        <f t="shared" si="20"/>
        <v>0</v>
      </c>
      <c r="G51" s="311">
        <f t="shared" si="20"/>
        <v>0.5</v>
      </c>
      <c r="H51" s="311">
        <f t="shared" si="20"/>
        <v>0</v>
      </c>
      <c r="I51" s="311">
        <f t="shared" si="20"/>
        <v>0</v>
      </c>
      <c r="J51" s="311">
        <f t="shared" si="20"/>
        <v>0.5</v>
      </c>
      <c r="K51" s="311">
        <f t="shared" si="20"/>
        <v>0.25</v>
      </c>
      <c r="L51" s="311">
        <f t="shared" si="20"/>
        <v>0</v>
      </c>
      <c r="M51" s="312">
        <f t="shared" si="20"/>
        <v>0.25</v>
      </c>
      <c r="O51" s="55"/>
      <c r="P51" s="56"/>
      <c r="Q51" s="56"/>
      <c r="R51" s="56"/>
      <c r="S51" s="56"/>
      <c r="T51" s="56"/>
      <c r="U51" s="56"/>
      <c r="V51" s="56"/>
      <c r="W51" s="56"/>
      <c r="X51" s="57"/>
      <c r="Z51" s="55"/>
      <c r="AA51" s="56"/>
      <c r="AB51" s="56"/>
      <c r="AC51" s="56"/>
      <c r="AD51" s="56"/>
      <c r="AE51" s="56"/>
      <c r="AF51" s="56"/>
      <c r="AG51" s="56"/>
      <c r="AH51" s="56"/>
      <c r="AI51" s="57"/>
      <c r="AK51" s="49"/>
      <c r="AL51" s="49"/>
      <c r="AM51" s="49"/>
      <c r="AN51" s="49"/>
      <c r="AO51" s="49"/>
    </row>
    <row r="52" spans="1:41" s="1" customFormat="1" ht="20.149999999999999" customHeight="1" outlineLevel="2">
      <c r="A52" s="302" t="s">
        <v>292</v>
      </c>
      <c r="B52" s="228" t="s">
        <v>293</v>
      </c>
      <c r="C52" s="227" t="str">
        <f>VLOOKUP(A52, 'NZS O&amp;G and CA100'!$B$7:$D$194, 3, FALSE)</f>
        <v>Disclosure</v>
      </c>
      <c r="D52" s="310">
        <f>IF(INDEX('NZS O&amp;G and CA100'!$D$5:$D$193, MATCH($A52, 'NZS O&amp;G and CA100'!$B$5:$B$193, 0)) =$B$4, INDEX('NZS O&amp;G and CA100'!$E$5:$N$193, MATCH($A52, 'NZS O&amp;G and CA100'!$B$5:$B$193, 0),MATCH(D$3, 'NZS O&amp;G and CA100'!$E$3:$N$3, 0)),"")</f>
        <v>1</v>
      </c>
      <c r="E52" s="311">
        <f>IF(INDEX('NZS O&amp;G and CA100'!$D$5:$D$193, MATCH($A52, 'NZS O&amp;G and CA100'!$B$5:$B$193, 0)) =$B$4, INDEX('NZS O&amp;G and CA100'!$E$5:$N$193, MATCH($A52, 'NZS O&amp;G and CA100'!$B$5:$B$193, 0),MATCH(E$3, 'NZS O&amp;G and CA100'!$E$3:$N$3, 0)),"")</f>
        <v>1</v>
      </c>
      <c r="F52" s="311">
        <f>IF(INDEX('NZS O&amp;G and CA100'!$D$5:$D$193, MATCH($A52, 'NZS O&amp;G and CA100'!$B$5:$B$193, 0)) =$B$4, INDEX('NZS O&amp;G and CA100'!$E$5:$N$193, MATCH($A52, 'NZS O&amp;G and CA100'!$B$5:$B$193, 0),MATCH(F$3, 'NZS O&amp;G and CA100'!$E$3:$N$3, 0)),"")</f>
        <v>0</v>
      </c>
      <c r="G52" s="311">
        <f>IF(INDEX('NZS O&amp;G and CA100'!$D$5:$D$193, MATCH($A52, 'NZS O&amp;G and CA100'!$B$5:$B$193, 0)) =$B$4, INDEX('NZS O&amp;G and CA100'!$E$5:$N$193, MATCH($A52, 'NZS O&amp;G and CA100'!$B$5:$B$193, 0),MATCH(G$3, 'NZS O&amp;G and CA100'!$E$3:$N$3, 0)),"")</f>
        <v>1</v>
      </c>
      <c r="H52" s="311">
        <f>IF(INDEX('NZS O&amp;G and CA100'!$D$5:$D$193, MATCH($A52, 'NZS O&amp;G and CA100'!$B$5:$B$193, 0)) =$B$4, INDEX('NZS O&amp;G and CA100'!$E$5:$N$193, MATCH($A52, 'NZS O&amp;G and CA100'!$B$5:$B$193, 0),MATCH(H$3, 'NZS O&amp;G and CA100'!$E$3:$N$3, 0)),"")</f>
        <v>0</v>
      </c>
      <c r="I52" s="311">
        <f>IF(INDEX('NZS O&amp;G and CA100'!$D$5:$D$193, MATCH($A52, 'NZS O&amp;G and CA100'!$B$5:$B$193, 0)) =$B$4, INDEX('NZS O&amp;G and CA100'!$E$5:$N$193, MATCH($A52, 'NZS O&amp;G and CA100'!$B$5:$B$193, 0),MATCH(I$3, 'NZS O&amp;G and CA100'!$E$3:$N$3, 0)),"")</f>
        <v>0</v>
      </c>
      <c r="J52" s="311">
        <f>IF(INDEX('NZS O&amp;G and CA100'!$D$5:$D$193, MATCH($A52, 'NZS O&amp;G and CA100'!$B$5:$B$193, 0)) =$B$4, INDEX('NZS O&amp;G and CA100'!$E$5:$N$193, MATCH($A52, 'NZS O&amp;G and CA100'!$B$5:$B$193, 0),MATCH(J$3, 'NZS O&amp;G and CA100'!$E$3:$N$3, 0)),"")</f>
        <v>1</v>
      </c>
      <c r="K52" s="311">
        <f>IF(INDEX('NZS O&amp;G and CA100'!$D$5:$D$193, MATCH($A52, 'NZS O&amp;G and CA100'!$B$5:$B$193, 0)) =$B$4, INDEX('NZS O&amp;G and CA100'!$E$5:$N$193, MATCH($A52, 'NZS O&amp;G and CA100'!$B$5:$B$193, 0),MATCH(K$3, 'NZS O&amp;G and CA100'!$E$3:$N$3, 0)),"")</f>
        <v>1</v>
      </c>
      <c r="L52" s="311">
        <f>IF(INDEX('NZS O&amp;G and CA100'!$D$5:$D$193, MATCH($A52, 'NZS O&amp;G and CA100'!$B$5:$B$193, 0)) =$B$4, INDEX('NZS O&amp;G and CA100'!$E$5:$N$193, MATCH($A52, 'NZS O&amp;G and CA100'!$B$5:$B$193, 0),MATCH(L$3, 'NZS O&amp;G and CA100'!$E$3:$N$3, 0)),"")</f>
        <v>0</v>
      </c>
      <c r="M52" s="312">
        <f>IF(INDEX('NZS O&amp;G and CA100'!$D$5:$D$193, MATCH($A52, 'NZS O&amp;G and CA100'!$B$5:$B$193, 0)) =$B$4, INDEX('NZS O&amp;G and CA100'!$E$5:$N$193, MATCH($A52, 'NZS O&amp;G and CA100'!$B$5:$B$193, 0),MATCH(M$3, 'NZS O&amp;G and CA100'!$E$3:$N$3, 0)),"")</f>
        <v>1</v>
      </c>
      <c r="O52" s="55"/>
      <c r="P52" s="56"/>
      <c r="Q52" s="56"/>
      <c r="R52" s="56"/>
      <c r="S52" s="56"/>
      <c r="T52" s="56"/>
      <c r="U52" s="56"/>
      <c r="V52" s="56"/>
      <c r="W52" s="56"/>
      <c r="X52" s="57"/>
      <c r="Z52" s="55"/>
      <c r="AA52" s="56"/>
      <c r="AB52" s="56"/>
      <c r="AC52" s="56"/>
      <c r="AD52" s="56"/>
      <c r="AE52" s="56"/>
      <c r="AF52" s="56"/>
      <c r="AG52" s="56"/>
      <c r="AH52" s="56"/>
      <c r="AI52" s="57"/>
      <c r="AK52" s="49"/>
      <c r="AL52" s="49"/>
      <c r="AM52" s="49"/>
      <c r="AN52" s="49"/>
      <c r="AO52" s="49"/>
    </row>
    <row r="53" spans="1:41" s="1" customFormat="1" ht="20.149999999999999" customHeight="1" outlineLevel="2">
      <c r="A53" s="302" t="s">
        <v>294</v>
      </c>
      <c r="B53" s="228" t="s">
        <v>295</v>
      </c>
      <c r="C53" s="227" t="str">
        <f>VLOOKUP(A53, 'NZS O&amp;G and CA100'!$B$7:$D$194, 3, FALSE)</f>
        <v>Disclosure</v>
      </c>
      <c r="D53" s="310">
        <f>IF(INDEX('NZS O&amp;G and CA100'!$D$5:$D$193, MATCH($A53, 'NZS O&amp;G and CA100'!$B$5:$B$193, 0)) =$B$4, INDEX('NZS O&amp;G and CA100'!$E$5:$N$193, MATCH($A53, 'NZS O&amp;G and CA100'!$B$5:$B$193, 0),MATCH(D$3, 'NZS O&amp;G and CA100'!$E$3:$N$3, 0)),"")</f>
        <v>0</v>
      </c>
      <c r="E53" s="311">
        <f>IF(INDEX('NZS O&amp;G and CA100'!$D$5:$D$193, MATCH($A53, 'NZS O&amp;G and CA100'!$B$5:$B$193, 0)) =$B$4, INDEX('NZS O&amp;G and CA100'!$E$5:$N$193, MATCH($A53, 'NZS O&amp;G and CA100'!$B$5:$B$193, 0),MATCH(E$3, 'NZS O&amp;G and CA100'!$E$3:$N$3, 0)),"")</f>
        <v>1</v>
      </c>
      <c r="F53" s="311">
        <f>IF(INDEX('NZS O&amp;G and CA100'!$D$5:$D$193, MATCH($A53, 'NZS O&amp;G and CA100'!$B$5:$B$193, 0)) =$B$4, INDEX('NZS O&amp;G and CA100'!$E$5:$N$193, MATCH($A53, 'NZS O&amp;G and CA100'!$B$5:$B$193, 0),MATCH(F$3, 'NZS O&amp;G and CA100'!$E$3:$N$3, 0)),"")</f>
        <v>0</v>
      </c>
      <c r="G53" s="311">
        <f>IF(INDEX('NZS O&amp;G and CA100'!$D$5:$D$193, MATCH($A53, 'NZS O&amp;G and CA100'!$B$5:$B$193, 0)) =$B$4, INDEX('NZS O&amp;G and CA100'!$E$5:$N$193, MATCH($A53, 'NZS O&amp;G and CA100'!$B$5:$B$193, 0),MATCH(G$3, 'NZS O&amp;G and CA100'!$E$3:$N$3, 0)),"")</f>
        <v>1</v>
      </c>
      <c r="H53" s="311">
        <f>IF(INDEX('NZS O&amp;G and CA100'!$D$5:$D$193, MATCH($A53, 'NZS O&amp;G and CA100'!$B$5:$B$193, 0)) =$B$4, INDEX('NZS O&amp;G and CA100'!$E$5:$N$193, MATCH($A53, 'NZS O&amp;G and CA100'!$B$5:$B$193, 0),MATCH(H$3, 'NZS O&amp;G and CA100'!$E$3:$N$3, 0)),"")</f>
        <v>0</v>
      </c>
      <c r="I53" s="311">
        <f>IF(INDEX('NZS O&amp;G and CA100'!$D$5:$D$193, MATCH($A53, 'NZS O&amp;G and CA100'!$B$5:$B$193, 0)) =$B$4, INDEX('NZS O&amp;G and CA100'!$E$5:$N$193, MATCH($A53, 'NZS O&amp;G and CA100'!$B$5:$B$193, 0),MATCH(I$3, 'NZS O&amp;G and CA100'!$E$3:$N$3, 0)),"")</f>
        <v>0</v>
      </c>
      <c r="J53" s="311">
        <f>IF(INDEX('NZS O&amp;G and CA100'!$D$5:$D$193, MATCH($A53, 'NZS O&amp;G and CA100'!$B$5:$B$193, 0)) =$B$4, INDEX('NZS O&amp;G and CA100'!$E$5:$N$193, MATCH($A53, 'NZS O&amp;G and CA100'!$B$5:$B$193, 0),MATCH(J$3, 'NZS O&amp;G and CA100'!$E$3:$N$3, 0)),"")</f>
        <v>1</v>
      </c>
      <c r="K53" s="311">
        <f>IF(INDEX('NZS O&amp;G and CA100'!$D$5:$D$193, MATCH($A53, 'NZS O&amp;G and CA100'!$B$5:$B$193, 0)) =$B$4, INDEX('NZS O&amp;G and CA100'!$E$5:$N$193, MATCH($A53, 'NZS O&amp;G and CA100'!$B$5:$B$193, 0),MATCH(K$3, 'NZS O&amp;G and CA100'!$E$3:$N$3, 0)),"")</f>
        <v>0</v>
      </c>
      <c r="L53" s="311">
        <f>IF(INDEX('NZS O&amp;G and CA100'!$D$5:$D$193, MATCH($A53, 'NZS O&amp;G and CA100'!$B$5:$B$193, 0)) =$B$4, INDEX('NZS O&amp;G and CA100'!$E$5:$N$193, MATCH($A53, 'NZS O&amp;G and CA100'!$B$5:$B$193, 0),MATCH(L$3, 'NZS O&amp;G and CA100'!$E$3:$N$3, 0)),"")</f>
        <v>0</v>
      </c>
      <c r="M53" s="312">
        <f>IF(INDEX('NZS O&amp;G and CA100'!$D$5:$D$193, MATCH($A53, 'NZS O&amp;G and CA100'!$B$5:$B$193, 0)) =$B$4, INDEX('NZS O&amp;G and CA100'!$E$5:$N$193, MATCH($A53, 'NZS O&amp;G and CA100'!$B$5:$B$193, 0),MATCH(M$3, 'NZS O&amp;G and CA100'!$E$3:$N$3, 0)),"")</f>
        <v>0</v>
      </c>
      <c r="O53" s="55"/>
      <c r="P53" s="56"/>
      <c r="Q53" s="56"/>
      <c r="R53" s="56"/>
      <c r="S53" s="56"/>
      <c r="T53" s="56"/>
      <c r="U53" s="56"/>
      <c r="V53" s="56"/>
      <c r="W53" s="56"/>
      <c r="X53" s="57"/>
      <c r="Z53" s="55"/>
      <c r="AA53" s="56"/>
      <c r="AB53" s="56"/>
      <c r="AC53" s="56"/>
      <c r="AD53" s="56"/>
      <c r="AE53" s="56"/>
      <c r="AF53" s="56"/>
      <c r="AG53" s="56"/>
      <c r="AH53" s="56"/>
      <c r="AI53" s="57"/>
      <c r="AK53" s="49"/>
      <c r="AL53" s="49"/>
      <c r="AM53" s="49"/>
      <c r="AN53" s="49"/>
      <c r="AO53" s="49"/>
    </row>
    <row r="54" spans="1:41" s="1" customFormat="1" ht="20.149999999999999" customHeight="1" outlineLevel="2">
      <c r="A54" s="302" t="s">
        <v>296</v>
      </c>
      <c r="B54" s="235" t="s">
        <v>104</v>
      </c>
      <c r="C54" s="236" t="str">
        <f>VLOOKUP(A54, 'NZS O&amp;G and CA100'!$B$7:$D$194, 3, FALSE)</f>
        <v>Disclosure</v>
      </c>
      <c r="D54" s="310">
        <f>IF(INDEX('NZS O&amp;G and CA100'!$D$5:$D$193, MATCH($A54, 'NZS O&amp;G and CA100'!$B$5:$B$193, 0)) =$B$4, INDEX('NZS O&amp;G and CA100'!$E$5:$N$193, MATCH($A54, 'NZS O&amp;G and CA100'!$B$5:$B$193, 0),MATCH(D$3, 'NZS O&amp;G and CA100'!$E$3:$N$3, 0)),"")</f>
        <v>0</v>
      </c>
      <c r="E54" s="311">
        <f>IF(INDEX('NZS O&amp;G and CA100'!$D$5:$D$193, MATCH($A54, 'NZS O&amp;G and CA100'!$B$5:$B$193, 0)) =$B$4, INDEX('NZS O&amp;G and CA100'!$E$5:$N$193, MATCH($A54, 'NZS O&amp;G and CA100'!$B$5:$B$193, 0),MATCH(E$3, 'NZS O&amp;G and CA100'!$E$3:$N$3, 0)),"")</f>
        <v>0</v>
      </c>
      <c r="F54" s="311">
        <f>IF(INDEX('NZS O&amp;G and CA100'!$D$5:$D$193, MATCH($A54, 'NZS O&amp;G and CA100'!$B$5:$B$193, 0)) =$B$4, INDEX('NZS O&amp;G and CA100'!$E$5:$N$193, MATCH($A54, 'NZS O&amp;G and CA100'!$B$5:$B$193, 0),MATCH(F$3, 'NZS O&amp;G and CA100'!$E$3:$N$3, 0)),"")</f>
        <v>0</v>
      </c>
      <c r="G54" s="311">
        <f>IF(INDEX('NZS O&amp;G and CA100'!$D$5:$D$193, MATCH($A54, 'NZS O&amp;G and CA100'!$B$5:$B$193, 0)) =$B$4, INDEX('NZS O&amp;G and CA100'!$E$5:$N$193, MATCH($A54, 'NZS O&amp;G and CA100'!$B$5:$B$193, 0),MATCH(G$3, 'NZS O&amp;G and CA100'!$E$3:$N$3, 0)),"")</f>
        <v>0</v>
      </c>
      <c r="H54" s="311">
        <f>IF(INDEX('NZS O&amp;G and CA100'!$D$5:$D$193, MATCH($A54, 'NZS O&amp;G and CA100'!$B$5:$B$193, 0)) =$B$4, INDEX('NZS O&amp;G and CA100'!$E$5:$N$193, MATCH($A54, 'NZS O&amp;G and CA100'!$B$5:$B$193, 0),MATCH(H$3, 'NZS O&amp;G and CA100'!$E$3:$N$3, 0)),"")</f>
        <v>0</v>
      </c>
      <c r="I54" s="311">
        <f>IF(INDEX('NZS O&amp;G and CA100'!$D$5:$D$193, MATCH($A54, 'NZS O&amp;G and CA100'!$B$5:$B$193, 0)) =$B$4, INDEX('NZS O&amp;G and CA100'!$E$5:$N$193, MATCH($A54, 'NZS O&amp;G and CA100'!$B$5:$B$193, 0),MATCH(I$3, 'NZS O&amp;G and CA100'!$E$3:$N$3, 0)),"")</f>
        <v>0</v>
      </c>
      <c r="J54" s="311">
        <f>IF(INDEX('NZS O&amp;G and CA100'!$D$5:$D$193, MATCH($A54, 'NZS O&amp;G and CA100'!$B$5:$B$193, 0)) =$B$4, INDEX('NZS O&amp;G and CA100'!$E$5:$N$193, MATCH($A54, 'NZS O&amp;G and CA100'!$B$5:$B$193, 0),MATCH(J$3, 'NZS O&amp;G and CA100'!$E$3:$N$3, 0)),"")</f>
        <v>0</v>
      </c>
      <c r="K54" s="311">
        <f>IF(INDEX('NZS O&amp;G and CA100'!$D$5:$D$193, MATCH($A54, 'NZS O&amp;G and CA100'!$B$5:$B$193, 0)) =$B$4, INDEX('NZS O&amp;G and CA100'!$E$5:$N$193, MATCH($A54, 'NZS O&amp;G and CA100'!$B$5:$B$193, 0),MATCH(K$3, 'NZS O&amp;G and CA100'!$E$3:$N$3, 0)),"")</f>
        <v>0</v>
      </c>
      <c r="L54" s="311">
        <f>IF(INDEX('NZS O&amp;G and CA100'!$D$5:$D$193, MATCH($A54, 'NZS O&amp;G and CA100'!$B$5:$B$193, 0)) =$B$4, INDEX('NZS O&amp;G and CA100'!$E$5:$N$193, MATCH($A54, 'NZS O&amp;G and CA100'!$B$5:$B$193, 0),MATCH(L$3, 'NZS O&amp;G and CA100'!$E$3:$N$3, 0)),"")</f>
        <v>0</v>
      </c>
      <c r="M54" s="312">
        <f>IF(INDEX('NZS O&amp;G and CA100'!$D$5:$D$193, MATCH($A54, 'NZS O&amp;G and CA100'!$B$5:$B$193, 0)) =$B$4, INDEX('NZS O&amp;G and CA100'!$E$5:$N$193, MATCH($A54, 'NZS O&amp;G and CA100'!$B$5:$B$193, 0),MATCH(M$3, 'NZS O&amp;G and CA100'!$E$3:$N$3, 0)),"")</f>
        <v>0</v>
      </c>
      <c r="O54" s="55"/>
      <c r="P54" s="56"/>
      <c r="Q54" s="56"/>
      <c r="R54" s="56"/>
      <c r="S54" s="56"/>
      <c r="T54" s="56"/>
      <c r="U54" s="56"/>
      <c r="V54" s="56"/>
      <c r="W54" s="56"/>
      <c r="X54" s="57"/>
      <c r="Z54" s="55"/>
      <c r="AA54" s="56"/>
      <c r="AB54" s="56"/>
      <c r="AC54" s="56"/>
      <c r="AD54" s="56"/>
      <c r="AE54" s="56"/>
      <c r="AF54" s="56"/>
      <c r="AG54" s="56"/>
      <c r="AH54" s="56"/>
      <c r="AI54" s="57"/>
      <c r="AK54" s="49"/>
      <c r="AL54" s="49"/>
      <c r="AM54" s="49"/>
      <c r="AN54" s="49"/>
      <c r="AO54" s="49"/>
    </row>
    <row r="55" spans="1:41" s="1" customFormat="1" ht="20.149999999999999" customHeight="1" outlineLevel="2">
      <c r="A55" s="302" t="s">
        <v>297</v>
      </c>
      <c r="B55" s="235" t="s">
        <v>105</v>
      </c>
      <c r="C55" s="236" t="str">
        <f>VLOOKUP(A55, 'NZS O&amp;G and CA100'!$B$7:$D$194, 3, FALSE)</f>
        <v>Disclosure</v>
      </c>
      <c r="D55" s="310">
        <f>IF(INDEX('NZS O&amp;G and CA100'!$D$5:$D$193, MATCH($A55, 'NZS O&amp;G and CA100'!$B$5:$B$193, 0)) =$B$4, INDEX('NZS O&amp;G and CA100'!$E$5:$N$193, MATCH($A55, 'NZS O&amp;G and CA100'!$B$5:$B$193, 0),MATCH(D$3, 'NZS O&amp;G and CA100'!$E$3:$N$3, 0)),"")</f>
        <v>0</v>
      </c>
      <c r="E55" s="311">
        <f>IF(INDEX('NZS O&amp;G and CA100'!$D$5:$D$193, MATCH($A55, 'NZS O&amp;G and CA100'!$B$5:$B$193, 0)) =$B$4, INDEX('NZS O&amp;G and CA100'!$E$5:$N$193, MATCH($A55, 'NZS O&amp;G and CA100'!$B$5:$B$193, 0),MATCH(E$3, 'NZS O&amp;G and CA100'!$E$3:$N$3, 0)),"")</f>
        <v>0</v>
      </c>
      <c r="F55" s="311">
        <f>IF(INDEX('NZS O&amp;G and CA100'!$D$5:$D$193, MATCH($A55, 'NZS O&amp;G and CA100'!$B$5:$B$193, 0)) =$B$4, INDEX('NZS O&amp;G and CA100'!$E$5:$N$193, MATCH($A55, 'NZS O&amp;G and CA100'!$B$5:$B$193, 0),MATCH(F$3, 'NZS O&amp;G and CA100'!$E$3:$N$3, 0)),"")</f>
        <v>0</v>
      </c>
      <c r="G55" s="311">
        <f>IF(INDEX('NZS O&amp;G and CA100'!$D$5:$D$193, MATCH($A55, 'NZS O&amp;G and CA100'!$B$5:$B$193, 0)) =$B$4, INDEX('NZS O&amp;G and CA100'!$E$5:$N$193, MATCH($A55, 'NZS O&amp;G and CA100'!$B$5:$B$193, 0),MATCH(G$3, 'NZS O&amp;G and CA100'!$E$3:$N$3, 0)),"")</f>
        <v>0</v>
      </c>
      <c r="H55" s="311">
        <f>IF(INDEX('NZS O&amp;G and CA100'!$D$5:$D$193, MATCH($A55, 'NZS O&amp;G and CA100'!$B$5:$B$193, 0)) =$B$4, INDEX('NZS O&amp;G and CA100'!$E$5:$N$193, MATCH($A55, 'NZS O&amp;G and CA100'!$B$5:$B$193, 0),MATCH(H$3, 'NZS O&amp;G and CA100'!$E$3:$N$3, 0)),"")</f>
        <v>0</v>
      </c>
      <c r="I55" s="311">
        <f>IF(INDEX('NZS O&amp;G and CA100'!$D$5:$D$193, MATCH($A55, 'NZS O&amp;G and CA100'!$B$5:$B$193, 0)) =$B$4, INDEX('NZS O&amp;G and CA100'!$E$5:$N$193, MATCH($A55, 'NZS O&amp;G and CA100'!$B$5:$B$193, 0),MATCH(I$3, 'NZS O&amp;G and CA100'!$E$3:$N$3, 0)),"")</f>
        <v>0</v>
      </c>
      <c r="J55" s="311">
        <f>IF(INDEX('NZS O&amp;G and CA100'!$D$5:$D$193, MATCH($A55, 'NZS O&amp;G and CA100'!$B$5:$B$193, 0)) =$B$4, INDEX('NZS O&amp;G and CA100'!$E$5:$N$193, MATCH($A55, 'NZS O&amp;G and CA100'!$B$5:$B$193, 0),MATCH(J$3, 'NZS O&amp;G and CA100'!$E$3:$N$3, 0)),"")</f>
        <v>0</v>
      </c>
      <c r="K55" s="311">
        <f>IF(INDEX('NZS O&amp;G and CA100'!$D$5:$D$193, MATCH($A55, 'NZS O&amp;G and CA100'!$B$5:$B$193, 0)) =$B$4, INDEX('NZS O&amp;G and CA100'!$E$5:$N$193, MATCH($A55, 'NZS O&amp;G and CA100'!$B$5:$B$193, 0),MATCH(K$3, 'NZS O&amp;G and CA100'!$E$3:$N$3, 0)),"")</f>
        <v>0</v>
      </c>
      <c r="L55" s="311">
        <f>IF(INDEX('NZS O&amp;G and CA100'!$D$5:$D$193, MATCH($A55, 'NZS O&amp;G and CA100'!$B$5:$B$193, 0)) =$B$4, INDEX('NZS O&amp;G and CA100'!$E$5:$N$193, MATCH($A55, 'NZS O&amp;G and CA100'!$B$5:$B$193, 0),MATCH(L$3, 'NZS O&amp;G and CA100'!$E$3:$N$3, 0)),"")</f>
        <v>0</v>
      </c>
      <c r="M55" s="312">
        <f>IF(INDEX('NZS O&amp;G and CA100'!$D$5:$D$193, MATCH($A55, 'NZS O&amp;G and CA100'!$B$5:$B$193, 0)) =$B$4, INDEX('NZS O&amp;G and CA100'!$E$5:$N$193, MATCH($A55, 'NZS O&amp;G and CA100'!$B$5:$B$193, 0),MATCH(M$3, 'NZS O&amp;G and CA100'!$E$3:$N$3, 0)),"")</f>
        <v>0</v>
      </c>
      <c r="O55" s="55"/>
      <c r="P55" s="56"/>
      <c r="Q55" s="56"/>
      <c r="R55" s="56"/>
      <c r="S55" s="56"/>
      <c r="T55" s="56"/>
      <c r="U55" s="56"/>
      <c r="V55" s="56"/>
      <c r="W55" s="56"/>
      <c r="X55" s="57"/>
      <c r="Z55" s="55"/>
      <c r="AA55" s="56"/>
      <c r="AB55" s="56"/>
      <c r="AC55" s="56"/>
      <c r="AD55" s="56"/>
      <c r="AE55" s="56"/>
      <c r="AF55" s="56"/>
      <c r="AG55" s="56"/>
      <c r="AH55" s="56"/>
      <c r="AI55" s="57"/>
      <c r="AK55" s="49"/>
      <c r="AL55" s="49"/>
      <c r="AM55" s="49"/>
      <c r="AN55" s="49"/>
      <c r="AO55" s="49"/>
    </row>
    <row r="56" spans="1:41" s="1" customFormat="1" ht="20.149999999999999" customHeight="1" outlineLevel="2">
      <c r="A56" s="302" t="s">
        <v>106</v>
      </c>
      <c r="B56" s="228" t="s">
        <v>107</v>
      </c>
      <c r="C56" s="227" t="str">
        <f>VLOOKUP(A56, 'NZS O&amp;G and CA100'!$B$7:$D$194, 3, FALSE)</f>
        <v>Disclosure</v>
      </c>
      <c r="D56" s="310" t="str">
        <f>IF(INDEX('NZS O&amp;G and CA100'!$D$5:$D$193, MATCH($A56, 'NZS O&amp;G and CA100'!$B$5:$B$193, 0)) =$B$4, INDEX('NZS O&amp;G and CA100'!$E$5:$N$193, MATCH($A56, 'NZS O&amp;G and CA100'!$B$5:$B$193, 0),MATCH(D$3, 'NZS O&amp;G and CA100'!$E$3:$N$3, 0)),"")</f>
        <v>Under development</v>
      </c>
      <c r="E56" s="311" t="str">
        <f>IF(INDEX('NZS O&amp;G and CA100'!$D$5:$D$193, MATCH($A56, 'NZS O&amp;G and CA100'!$B$5:$B$193, 0)) =$B$4, INDEX('NZS O&amp;G and CA100'!$E$5:$N$193, MATCH($A56, 'NZS O&amp;G and CA100'!$B$5:$B$193, 0),MATCH(E$3, 'NZS O&amp;G and CA100'!$E$3:$N$3, 0)),"")</f>
        <v>Under development</v>
      </c>
      <c r="F56" s="311" t="str">
        <f>IF(INDEX('NZS O&amp;G and CA100'!$D$5:$D$193, MATCH($A56, 'NZS O&amp;G and CA100'!$B$5:$B$193, 0)) =$B$4, INDEX('NZS O&amp;G and CA100'!$E$5:$N$193, MATCH($A56, 'NZS O&amp;G and CA100'!$B$5:$B$193, 0),MATCH(F$3, 'NZS O&amp;G and CA100'!$E$3:$N$3, 0)),"")</f>
        <v>Under development</v>
      </c>
      <c r="G56" s="311" t="str">
        <f>IF(INDEX('NZS O&amp;G and CA100'!$D$5:$D$193, MATCH($A56, 'NZS O&amp;G and CA100'!$B$5:$B$193, 0)) =$B$4, INDEX('NZS O&amp;G and CA100'!$E$5:$N$193, MATCH($A56, 'NZS O&amp;G and CA100'!$B$5:$B$193, 0),MATCH(G$3, 'NZS O&amp;G and CA100'!$E$3:$N$3, 0)),"")</f>
        <v>Under development</v>
      </c>
      <c r="H56" s="311" t="str">
        <f>IF(INDEX('NZS O&amp;G and CA100'!$D$5:$D$193, MATCH($A56, 'NZS O&amp;G and CA100'!$B$5:$B$193, 0)) =$B$4, INDEX('NZS O&amp;G and CA100'!$E$5:$N$193, MATCH($A56, 'NZS O&amp;G and CA100'!$B$5:$B$193, 0),MATCH(H$3, 'NZS O&amp;G and CA100'!$E$3:$N$3, 0)),"")</f>
        <v>Under development</v>
      </c>
      <c r="I56" s="311" t="str">
        <f>IF(INDEX('NZS O&amp;G and CA100'!$D$5:$D$193, MATCH($A56, 'NZS O&amp;G and CA100'!$B$5:$B$193, 0)) =$B$4, INDEX('NZS O&amp;G and CA100'!$E$5:$N$193, MATCH($A56, 'NZS O&amp;G and CA100'!$B$5:$B$193, 0),MATCH(I$3, 'NZS O&amp;G and CA100'!$E$3:$N$3, 0)),"")</f>
        <v>Under development</v>
      </c>
      <c r="J56" s="311" t="str">
        <f>IF(INDEX('NZS O&amp;G and CA100'!$D$5:$D$193, MATCH($A56, 'NZS O&amp;G and CA100'!$B$5:$B$193, 0)) =$B$4, INDEX('NZS O&amp;G and CA100'!$E$5:$N$193, MATCH($A56, 'NZS O&amp;G and CA100'!$B$5:$B$193, 0),MATCH(J$3, 'NZS O&amp;G and CA100'!$E$3:$N$3, 0)),"")</f>
        <v>Under development</v>
      </c>
      <c r="K56" s="311" t="str">
        <f>IF(INDEX('NZS O&amp;G and CA100'!$D$5:$D$193, MATCH($A56, 'NZS O&amp;G and CA100'!$B$5:$B$193, 0)) =$B$4, INDEX('NZS O&amp;G and CA100'!$E$5:$N$193, MATCH($A56, 'NZS O&amp;G and CA100'!$B$5:$B$193, 0),MATCH(K$3, 'NZS O&amp;G and CA100'!$E$3:$N$3, 0)),"")</f>
        <v>Under development</v>
      </c>
      <c r="L56" s="311" t="str">
        <f>IF(INDEX('NZS O&amp;G and CA100'!$D$5:$D$193, MATCH($A56, 'NZS O&amp;G and CA100'!$B$5:$B$193, 0)) =$B$4, INDEX('NZS O&amp;G and CA100'!$E$5:$N$193, MATCH($A56, 'NZS O&amp;G and CA100'!$B$5:$B$193, 0),MATCH(L$3, 'NZS O&amp;G and CA100'!$E$3:$N$3, 0)),"")</f>
        <v>Under development</v>
      </c>
      <c r="M56" s="312" t="str">
        <f>IF(INDEX('NZS O&amp;G and CA100'!$D$5:$D$193, MATCH($A56, 'NZS O&amp;G and CA100'!$B$5:$B$193, 0)) =$B$4, INDEX('NZS O&amp;G and CA100'!$E$5:$N$193, MATCH($A56, 'NZS O&amp;G and CA100'!$B$5:$B$193, 0),MATCH(M$3, 'NZS O&amp;G and CA100'!$E$3:$N$3, 0)),"")</f>
        <v>Under development</v>
      </c>
      <c r="O56" s="55"/>
      <c r="P56" s="56"/>
      <c r="Q56" s="56"/>
      <c r="R56" s="56"/>
      <c r="S56" s="56"/>
      <c r="T56" s="56"/>
      <c r="U56" s="56"/>
      <c r="V56" s="56"/>
      <c r="W56" s="56"/>
      <c r="X56" s="57"/>
      <c r="Z56" s="55"/>
      <c r="AA56" s="56"/>
      <c r="AB56" s="56"/>
      <c r="AC56" s="56"/>
      <c r="AD56" s="56"/>
      <c r="AE56" s="56"/>
      <c r="AF56" s="56"/>
      <c r="AG56" s="56"/>
      <c r="AH56" s="56"/>
      <c r="AI56" s="57"/>
      <c r="AK56" s="49"/>
      <c r="AL56" s="49"/>
      <c r="AM56" s="49"/>
      <c r="AN56" s="49"/>
      <c r="AO56" s="49"/>
    </row>
    <row r="57" spans="1:41" s="1" customFormat="1" ht="20.149999999999999" customHeight="1" outlineLevel="1">
      <c r="A57" s="302" t="s">
        <v>108</v>
      </c>
      <c r="B57" s="238" t="s">
        <v>109</v>
      </c>
      <c r="C57" s="236" t="str">
        <f>VLOOKUP(A57, 'NZS O&amp;G and CA100'!$B$7:$D$194, 3, FALSE)</f>
        <v> </v>
      </c>
      <c r="D57" s="310">
        <f>IF($B$4="Climate Solutions","",IF($B$4="Alignment",D60,((SUM(D58:D71)/COUNT(D58:D71)))))</f>
        <v>0.1</v>
      </c>
      <c r="E57" s="311">
        <f t="shared" ref="E57:M57" si="21">IF($B$4="Climate Solutions","",IF($B$4="Alignment",E60,((SUM(E58:E71)/COUNT(E58:E71)))))</f>
        <v>0</v>
      </c>
      <c r="F57" s="311">
        <f t="shared" si="21"/>
        <v>0</v>
      </c>
      <c r="G57" s="311">
        <f t="shared" si="21"/>
        <v>0.36363636363636365</v>
      </c>
      <c r="H57" s="311">
        <f t="shared" si="21"/>
        <v>0</v>
      </c>
      <c r="I57" s="311">
        <f t="shared" si="21"/>
        <v>7.6923076923076927E-2</v>
      </c>
      <c r="J57" s="311">
        <f t="shared" si="21"/>
        <v>0.15384615384615385</v>
      </c>
      <c r="K57" s="311">
        <f t="shared" si="21"/>
        <v>9.0909090909090912E-2</v>
      </c>
      <c r="L57" s="311">
        <f t="shared" si="21"/>
        <v>0</v>
      </c>
      <c r="M57" s="312">
        <f t="shared" si="21"/>
        <v>0.45454545454545453</v>
      </c>
      <c r="O57" s="55">
        <f>O60</f>
        <v>0</v>
      </c>
      <c r="P57" s="56">
        <f t="shared" ref="P57:X57" si="22">P60</f>
        <v>0</v>
      </c>
      <c r="Q57" s="56">
        <f t="shared" si="22"/>
        <v>0</v>
      </c>
      <c r="R57" s="56">
        <f t="shared" si="22"/>
        <v>1</v>
      </c>
      <c r="S57" s="56">
        <f t="shared" si="22"/>
        <v>0</v>
      </c>
      <c r="T57" s="56">
        <f t="shared" si="22"/>
        <v>0</v>
      </c>
      <c r="U57" s="56">
        <f t="shared" si="22"/>
        <v>0</v>
      </c>
      <c r="V57" s="56">
        <f t="shared" si="22"/>
        <v>0</v>
      </c>
      <c r="W57" s="56">
        <f t="shared" si="22"/>
        <v>0</v>
      </c>
      <c r="X57" s="57">
        <f t="shared" si="22"/>
        <v>1</v>
      </c>
      <c r="Z57" s="55"/>
      <c r="AA57" s="56"/>
      <c r="AB57" s="56"/>
      <c r="AC57" s="56"/>
      <c r="AD57" s="56"/>
      <c r="AE57" s="56"/>
      <c r="AF57" s="56"/>
      <c r="AG57" s="56"/>
      <c r="AH57" s="56"/>
      <c r="AI57" s="57"/>
      <c r="AK57" s="49"/>
      <c r="AL57" s="49"/>
      <c r="AM57" s="49"/>
      <c r="AN57" s="49"/>
      <c r="AO57" s="49"/>
    </row>
    <row r="58" spans="1:41" s="1" customFormat="1" ht="20.149999999999999" customHeight="1" outlineLevel="2">
      <c r="A58" s="302" t="s">
        <v>298</v>
      </c>
      <c r="B58" s="228" t="s">
        <v>110</v>
      </c>
      <c r="C58" s="227" t="str">
        <f>VLOOKUP(A58, 'NZS O&amp;G and CA100'!$B$7:$D$194, 3, FALSE)</f>
        <v>Disclosure</v>
      </c>
      <c r="D58" s="310">
        <f>IF(INDEX('NZS O&amp;G and CA100'!$D$5:$D$193, MATCH($A58, 'NZS O&amp;G and CA100'!$B$5:$B$193, 0)) =$B$4, INDEX('NZS O&amp;G and CA100'!$E$5:$N$193, MATCH($A58, 'NZS O&amp;G and CA100'!$B$5:$B$193, 0),MATCH(D$3, 'NZS O&amp;G and CA100'!$E$3:$N$3, 0)),"")</f>
        <v>0</v>
      </c>
      <c r="E58" s="311">
        <f>IF(INDEX('NZS O&amp;G and CA100'!$D$5:$D$193, MATCH($A58, 'NZS O&amp;G and CA100'!$B$5:$B$193, 0)) =$B$4, INDEX('NZS O&amp;G and CA100'!$E$5:$N$193, MATCH($A58, 'NZS O&amp;G and CA100'!$B$5:$B$193, 0),MATCH(E$3, 'NZS O&amp;G and CA100'!$E$3:$N$3, 0)),"")</f>
        <v>0</v>
      </c>
      <c r="F58" s="311">
        <f>IF(INDEX('NZS O&amp;G and CA100'!$D$5:$D$193, MATCH($A58, 'NZS O&amp;G and CA100'!$B$5:$B$193, 0)) =$B$4, INDEX('NZS O&amp;G and CA100'!$E$5:$N$193, MATCH($A58, 'NZS O&amp;G and CA100'!$B$5:$B$193, 0),MATCH(F$3, 'NZS O&amp;G and CA100'!$E$3:$N$3, 0)),"")</f>
        <v>0</v>
      </c>
      <c r="G58" s="311">
        <f>IF(INDEX('NZS O&amp;G and CA100'!$D$5:$D$193, MATCH($A58, 'NZS O&amp;G and CA100'!$B$5:$B$193, 0)) =$B$4, INDEX('NZS O&amp;G and CA100'!$E$5:$N$193, MATCH($A58, 'NZS O&amp;G and CA100'!$B$5:$B$193, 0),MATCH(G$3, 'NZS O&amp;G and CA100'!$E$3:$N$3, 0)),"")</f>
        <v>1</v>
      </c>
      <c r="H58" s="311">
        <f>IF(INDEX('NZS O&amp;G and CA100'!$D$5:$D$193, MATCH($A58, 'NZS O&amp;G and CA100'!$B$5:$B$193, 0)) =$B$4, INDEX('NZS O&amp;G and CA100'!$E$5:$N$193, MATCH($A58, 'NZS O&amp;G and CA100'!$B$5:$B$193, 0),MATCH(H$3, 'NZS O&amp;G and CA100'!$E$3:$N$3, 0)),"")</f>
        <v>0</v>
      </c>
      <c r="I58" s="311">
        <f>IF(INDEX('NZS O&amp;G and CA100'!$D$5:$D$193, MATCH($A58, 'NZS O&amp;G and CA100'!$B$5:$B$193, 0)) =$B$4, INDEX('NZS O&amp;G and CA100'!$E$5:$N$193, MATCH($A58, 'NZS O&amp;G and CA100'!$B$5:$B$193, 0),MATCH(I$3, 'NZS O&amp;G and CA100'!$E$3:$N$3, 0)),"")</f>
        <v>0</v>
      </c>
      <c r="J58" s="311">
        <f>IF(INDEX('NZS O&amp;G and CA100'!$D$5:$D$193, MATCH($A58, 'NZS O&amp;G and CA100'!$B$5:$B$193, 0)) =$B$4, INDEX('NZS O&amp;G and CA100'!$E$5:$N$193, MATCH($A58, 'NZS O&amp;G and CA100'!$B$5:$B$193, 0),MATCH(J$3, 'NZS O&amp;G and CA100'!$E$3:$N$3, 0)),"")</f>
        <v>0</v>
      </c>
      <c r="K58" s="311">
        <f>IF(INDEX('NZS O&amp;G and CA100'!$D$5:$D$193, MATCH($A58, 'NZS O&amp;G and CA100'!$B$5:$B$193, 0)) =$B$4, INDEX('NZS O&amp;G and CA100'!$E$5:$N$193, MATCH($A58, 'NZS O&amp;G and CA100'!$B$5:$B$193, 0),MATCH(K$3, 'NZS O&amp;G and CA100'!$E$3:$N$3, 0)),"")</f>
        <v>0</v>
      </c>
      <c r="L58" s="311">
        <f>IF(INDEX('NZS O&amp;G and CA100'!$D$5:$D$193, MATCH($A58, 'NZS O&amp;G and CA100'!$B$5:$B$193, 0)) =$B$4, INDEX('NZS O&amp;G and CA100'!$E$5:$N$193, MATCH($A58, 'NZS O&amp;G and CA100'!$B$5:$B$193, 0),MATCH(L$3, 'NZS O&amp;G and CA100'!$E$3:$N$3, 0)),"")</f>
        <v>0</v>
      </c>
      <c r="M58" s="312">
        <f>IF(INDEX('NZS O&amp;G and CA100'!$D$5:$D$193, MATCH($A58, 'NZS O&amp;G and CA100'!$B$5:$B$193, 0)) =$B$4, INDEX('NZS O&amp;G and CA100'!$E$5:$N$193, MATCH($A58, 'NZS O&amp;G and CA100'!$B$5:$B$193, 0),MATCH(M$3, 'NZS O&amp;G and CA100'!$E$3:$N$3, 0)),"")</f>
        <v>0</v>
      </c>
      <c r="O58" s="55" t="str">
        <f>IF(INDEX('NZS O&amp;G and CA100'!$D$5:$D$193, MATCH($A58, 'NZS O&amp;G and CA100'!$B$5:$B$193, 0)) = "Alignment", INDEX('NZS O&amp;G and CA100'!$E$5:$N$193, MATCH($A58, 'NZS O&amp;G and CA100'!$B$5:$B$193, 0),MATCH(O$4, 'NZS O&amp;G and CA100'!$E$3:$N$3, 0)),"")</f>
        <v/>
      </c>
      <c r="P58" s="56" t="str">
        <f>IF(INDEX('NZS O&amp;G and CA100'!$D$5:$D$193, MATCH($A58, 'NZS O&amp;G and CA100'!$B$5:$B$193, 0)) = "Alignment", INDEX('NZS O&amp;G and CA100'!$E$5:$N$193, MATCH($A58, 'NZS O&amp;G and CA100'!$B$5:$B$193, 0),MATCH(P$4, 'NZS O&amp;G and CA100'!$E$3:$N$3, 0)),"")</f>
        <v/>
      </c>
      <c r="Q58" s="56" t="str">
        <f>IF(INDEX('NZS O&amp;G and CA100'!$D$5:$D$193, MATCH($A58, 'NZS O&amp;G and CA100'!$B$5:$B$193, 0)) = "Alignment", INDEX('NZS O&amp;G and CA100'!$E$5:$N$193, MATCH($A58, 'NZS O&amp;G and CA100'!$B$5:$B$193, 0),MATCH(Q$4, 'NZS O&amp;G and CA100'!$E$3:$N$3, 0)),"")</f>
        <v/>
      </c>
      <c r="R58" s="56" t="str">
        <f>IF(INDEX('NZS O&amp;G and CA100'!$D$5:$D$193, MATCH($A58, 'NZS O&amp;G and CA100'!$B$5:$B$193, 0)) = "Alignment", INDEX('NZS O&amp;G and CA100'!$E$5:$N$193, MATCH($A58, 'NZS O&amp;G and CA100'!$B$5:$B$193, 0),MATCH(R$4, 'NZS O&amp;G and CA100'!$E$3:$N$3, 0)),"")</f>
        <v/>
      </c>
      <c r="S58" s="56" t="str">
        <f>IF(INDEX('NZS O&amp;G and CA100'!$D$5:$D$193, MATCH($A58, 'NZS O&amp;G and CA100'!$B$5:$B$193, 0)) = "Alignment", INDEX('NZS O&amp;G and CA100'!$E$5:$N$193, MATCH($A58, 'NZS O&amp;G and CA100'!$B$5:$B$193, 0),MATCH(S$4, 'NZS O&amp;G and CA100'!$E$3:$N$3, 0)),"")</f>
        <v/>
      </c>
      <c r="T58" s="56" t="str">
        <f>IF(INDEX('NZS O&amp;G and CA100'!$D$5:$D$193, MATCH($A58, 'NZS O&amp;G and CA100'!$B$5:$B$193, 0)) = "Alignment", INDEX('NZS O&amp;G and CA100'!$E$5:$N$193, MATCH($A58, 'NZS O&amp;G and CA100'!$B$5:$B$193, 0),MATCH(T$4, 'NZS O&amp;G and CA100'!$E$3:$N$3, 0)),"")</f>
        <v/>
      </c>
      <c r="U58" s="56" t="str">
        <f>IF(INDEX('NZS O&amp;G and CA100'!$D$5:$D$193, MATCH($A58, 'NZS O&amp;G and CA100'!$B$5:$B$193, 0)) = "Alignment", INDEX('NZS O&amp;G and CA100'!$E$5:$N$193, MATCH($A58, 'NZS O&amp;G and CA100'!$B$5:$B$193, 0),MATCH(U$4, 'NZS O&amp;G and CA100'!$E$3:$N$3, 0)),"")</f>
        <v/>
      </c>
      <c r="V58" s="56" t="str">
        <f>IF(INDEX('NZS O&amp;G and CA100'!$D$5:$D$193, MATCH($A58, 'NZS O&amp;G and CA100'!$B$5:$B$193, 0)) = "Alignment", INDEX('NZS O&amp;G and CA100'!$E$5:$N$193, MATCH($A58, 'NZS O&amp;G and CA100'!$B$5:$B$193, 0),MATCH(V$4, 'NZS O&amp;G and CA100'!$E$3:$N$3, 0)),"")</f>
        <v/>
      </c>
      <c r="W58" s="56" t="str">
        <f>IF(INDEX('NZS O&amp;G and CA100'!$D$5:$D$193, MATCH($A58, 'NZS O&amp;G and CA100'!$B$5:$B$193, 0)) = "Alignment", INDEX('NZS O&amp;G and CA100'!$E$5:$N$193, MATCH($A58, 'NZS O&amp;G and CA100'!$B$5:$B$193, 0),MATCH(L$3, 'NZS O&amp;G and CA100'!$E$3:$N$3, 0)),"")</f>
        <v/>
      </c>
      <c r="X58" s="57" t="str">
        <f>IF(INDEX('NZS O&amp;G and CA100'!$D$5:$D$193, MATCH($A58, 'NZS O&amp;G and CA100'!$B$5:$B$193, 0)) = "Alignment", INDEX('NZS O&amp;G and CA100'!$E$5:$N$193, MATCH($A58, 'NZS O&amp;G and CA100'!$B$5:$B$193, 0),MATCH(M$3, 'NZS O&amp;G and CA100'!$E$3:$N$3, 0)),"")</f>
        <v/>
      </c>
      <c r="Z58" s="55"/>
      <c r="AA58" s="56"/>
      <c r="AB58" s="56"/>
      <c r="AC58" s="56"/>
      <c r="AD58" s="56"/>
      <c r="AE58" s="56"/>
      <c r="AF58" s="56"/>
      <c r="AG58" s="56"/>
      <c r="AH58" s="56"/>
      <c r="AI58" s="57"/>
      <c r="AK58" s="49"/>
      <c r="AL58" s="49"/>
      <c r="AM58" s="49"/>
      <c r="AN58" s="49"/>
      <c r="AO58" s="49"/>
    </row>
    <row r="59" spans="1:41" s="1" customFormat="1" ht="20.149999999999999" customHeight="1" outlineLevel="2">
      <c r="A59" s="302" t="s">
        <v>299</v>
      </c>
      <c r="B59" s="235" t="s">
        <v>111</v>
      </c>
      <c r="C59" s="236" t="str">
        <f>VLOOKUP(A59, 'NZS O&amp;G and CA100'!$B$7:$D$194, 3, FALSE)</f>
        <v>Disclosure</v>
      </c>
      <c r="D59" s="310">
        <f>IF(INDEX('NZS O&amp;G and CA100'!$D$5:$D$193, MATCH($A59, 'NZS O&amp;G and CA100'!$B$5:$B$193, 0)) =$B$4, INDEX('NZS O&amp;G and CA100'!$E$5:$N$193, MATCH($A59, 'NZS O&amp;G and CA100'!$B$5:$B$193, 0),MATCH(D$3, 'NZS O&amp;G and CA100'!$E$3:$N$3, 0)),"")</f>
        <v>0</v>
      </c>
      <c r="E59" s="311">
        <f>IF(INDEX('NZS O&amp;G and CA100'!$D$5:$D$193, MATCH($A59, 'NZS O&amp;G and CA100'!$B$5:$B$193, 0)) =$B$4, INDEX('NZS O&amp;G and CA100'!$E$5:$N$193, MATCH($A59, 'NZS O&amp;G and CA100'!$B$5:$B$193, 0),MATCH(E$3, 'NZS O&amp;G and CA100'!$E$3:$N$3, 0)),"")</f>
        <v>0</v>
      </c>
      <c r="F59" s="311">
        <f>IF(INDEX('NZS O&amp;G and CA100'!$D$5:$D$193, MATCH($A59, 'NZS O&amp;G and CA100'!$B$5:$B$193, 0)) =$B$4, INDEX('NZS O&amp;G and CA100'!$E$5:$N$193, MATCH($A59, 'NZS O&amp;G and CA100'!$B$5:$B$193, 0),MATCH(F$3, 'NZS O&amp;G and CA100'!$E$3:$N$3, 0)),"")</f>
        <v>0</v>
      </c>
      <c r="G59" s="311">
        <f>IF(INDEX('NZS O&amp;G and CA100'!$D$5:$D$193, MATCH($A59, 'NZS O&amp;G and CA100'!$B$5:$B$193, 0)) =$B$4, INDEX('NZS O&amp;G and CA100'!$E$5:$N$193, MATCH($A59, 'NZS O&amp;G and CA100'!$B$5:$B$193, 0),MATCH(G$3, 'NZS O&amp;G and CA100'!$E$3:$N$3, 0)),"")</f>
        <v>1</v>
      </c>
      <c r="H59" s="311">
        <f>IF(INDEX('NZS O&amp;G and CA100'!$D$5:$D$193, MATCH($A59, 'NZS O&amp;G and CA100'!$B$5:$B$193, 0)) =$B$4, INDEX('NZS O&amp;G and CA100'!$E$5:$N$193, MATCH($A59, 'NZS O&amp;G and CA100'!$B$5:$B$193, 0),MATCH(H$3, 'NZS O&amp;G and CA100'!$E$3:$N$3, 0)),"")</f>
        <v>0</v>
      </c>
      <c r="I59" s="311">
        <f>IF(INDEX('NZS O&amp;G and CA100'!$D$5:$D$193, MATCH($A59, 'NZS O&amp;G and CA100'!$B$5:$B$193, 0)) =$B$4, INDEX('NZS O&amp;G and CA100'!$E$5:$N$193, MATCH($A59, 'NZS O&amp;G and CA100'!$B$5:$B$193, 0),MATCH(I$3, 'NZS O&amp;G and CA100'!$E$3:$N$3, 0)),"")</f>
        <v>0</v>
      </c>
      <c r="J59" s="311">
        <f>IF(INDEX('NZS O&amp;G and CA100'!$D$5:$D$193, MATCH($A59, 'NZS O&amp;G and CA100'!$B$5:$B$193, 0)) =$B$4, INDEX('NZS O&amp;G and CA100'!$E$5:$N$193, MATCH($A59, 'NZS O&amp;G and CA100'!$B$5:$B$193, 0),MATCH(J$3, 'NZS O&amp;G and CA100'!$E$3:$N$3, 0)),"")</f>
        <v>0</v>
      </c>
      <c r="K59" s="311">
        <f>IF(INDEX('NZS O&amp;G and CA100'!$D$5:$D$193, MATCH($A59, 'NZS O&amp;G and CA100'!$B$5:$B$193, 0)) =$B$4, INDEX('NZS O&amp;G and CA100'!$E$5:$N$193, MATCH($A59, 'NZS O&amp;G and CA100'!$B$5:$B$193, 0),MATCH(K$3, 'NZS O&amp;G and CA100'!$E$3:$N$3, 0)),"")</f>
        <v>0</v>
      </c>
      <c r="L59" s="311">
        <f>IF(INDEX('NZS O&amp;G and CA100'!$D$5:$D$193, MATCH($A59, 'NZS O&amp;G and CA100'!$B$5:$B$193, 0)) =$B$4, INDEX('NZS O&amp;G and CA100'!$E$5:$N$193, MATCH($A59, 'NZS O&amp;G and CA100'!$B$5:$B$193, 0),MATCH(L$3, 'NZS O&amp;G and CA100'!$E$3:$N$3, 0)),"")</f>
        <v>0</v>
      </c>
      <c r="M59" s="312">
        <f>IF(INDEX('NZS O&amp;G and CA100'!$D$5:$D$193, MATCH($A59, 'NZS O&amp;G and CA100'!$B$5:$B$193, 0)) =$B$4, INDEX('NZS O&amp;G and CA100'!$E$5:$N$193, MATCH($A59, 'NZS O&amp;G and CA100'!$B$5:$B$193, 0),MATCH(M$3, 'NZS O&amp;G and CA100'!$E$3:$N$3, 0)),"")</f>
        <v>1</v>
      </c>
      <c r="O59" s="55" t="str">
        <f>IF(INDEX('NZS O&amp;G and CA100'!$D$5:$D$193, MATCH($A59, 'NZS O&amp;G and CA100'!$B$5:$B$193, 0)) = "Alignment", INDEX('NZS O&amp;G and CA100'!$E$5:$N$193, MATCH($A59, 'NZS O&amp;G and CA100'!$B$5:$B$193, 0),MATCH(O$4, 'NZS O&amp;G and CA100'!$E$3:$N$3, 0)),"")</f>
        <v/>
      </c>
      <c r="P59" s="56" t="str">
        <f>IF(INDEX('NZS O&amp;G and CA100'!$D$5:$D$193, MATCH($A59, 'NZS O&amp;G and CA100'!$B$5:$B$193, 0)) = "Alignment", INDEX('NZS O&amp;G and CA100'!$E$5:$N$193, MATCH($A59, 'NZS O&amp;G and CA100'!$B$5:$B$193, 0),MATCH(P$4, 'NZS O&amp;G and CA100'!$E$3:$N$3, 0)),"")</f>
        <v/>
      </c>
      <c r="Q59" s="56" t="str">
        <f>IF(INDEX('NZS O&amp;G and CA100'!$D$5:$D$193, MATCH($A59, 'NZS O&amp;G and CA100'!$B$5:$B$193, 0)) = "Alignment", INDEX('NZS O&amp;G and CA100'!$E$5:$N$193, MATCH($A59, 'NZS O&amp;G and CA100'!$B$5:$B$193, 0),MATCH(Q$4, 'NZS O&amp;G and CA100'!$E$3:$N$3, 0)),"")</f>
        <v/>
      </c>
      <c r="R59" s="56" t="str">
        <f>IF(INDEX('NZS O&amp;G and CA100'!$D$5:$D$193, MATCH($A59, 'NZS O&amp;G and CA100'!$B$5:$B$193, 0)) = "Alignment", INDEX('NZS O&amp;G and CA100'!$E$5:$N$193, MATCH($A59, 'NZS O&amp;G and CA100'!$B$5:$B$193, 0),MATCH(R$4, 'NZS O&amp;G and CA100'!$E$3:$N$3, 0)),"")</f>
        <v/>
      </c>
      <c r="S59" s="56" t="str">
        <f>IF(INDEX('NZS O&amp;G and CA100'!$D$5:$D$193, MATCH($A59, 'NZS O&amp;G and CA100'!$B$5:$B$193, 0)) = "Alignment", INDEX('NZS O&amp;G and CA100'!$E$5:$N$193, MATCH($A59, 'NZS O&amp;G and CA100'!$B$5:$B$193, 0),MATCH(S$4, 'NZS O&amp;G and CA100'!$E$3:$N$3, 0)),"")</f>
        <v/>
      </c>
      <c r="T59" s="56" t="str">
        <f>IF(INDEX('NZS O&amp;G and CA100'!$D$5:$D$193, MATCH($A59, 'NZS O&amp;G and CA100'!$B$5:$B$193, 0)) = "Alignment", INDEX('NZS O&amp;G and CA100'!$E$5:$N$193, MATCH($A59, 'NZS O&amp;G and CA100'!$B$5:$B$193, 0),MATCH(T$4, 'NZS O&amp;G and CA100'!$E$3:$N$3, 0)),"")</f>
        <v/>
      </c>
      <c r="U59" s="56" t="str">
        <f>IF(INDEX('NZS O&amp;G and CA100'!$D$5:$D$193, MATCH($A59, 'NZS O&amp;G and CA100'!$B$5:$B$193, 0)) = "Alignment", INDEX('NZS O&amp;G and CA100'!$E$5:$N$193, MATCH($A59, 'NZS O&amp;G and CA100'!$B$5:$B$193, 0),MATCH(U$4, 'NZS O&amp;G and CA100'!$E$3:$N$3, 0)),"")</f>
        <v/>
      </c>
      <c r="V59" s="56" t="str">
        <f>IF(INDEX('NZS O&amp;G and CA100'!$D$5:$D$193, MATCH($A59, 'NZS O&amp;G and CA100'!$B$5:$B$193, 0)) = "Alignment", INDEX('NZS O&amp;G and CA100'!$E$5:$N$193, MATCH($A59, 'NZS O&amp;G and CA100'!$B$5:$B$193, 0),MATCH(V$4, 'NZS O&amp;G and CA100'!$E$3:$N$3, 0)),"")</f>
        <v/>
      </c>
      <c r="W59" s="56" t="str">
        <f>IF(INDEX('NZS O&amp;G and CA100'!$D$5:$D$193, MATCH($A59, 'NZS O&amp;G and CA100'!$B$5:$B$193, 0)) = "Alignment", INDEX('NZS O&amp;G and CA100'!$E$5:$N$193, MATCH($A59, 'NZS O&amp;G and CA100'!$B$5:$B$193, 0),MATCH(L$3, 'NZS O&amp;G and CA100'!$E$3:$N$3, 0)),"")</f>
        <v/>
      </c>
      <c r="X59" s="57" t="str">
        <f>IF(INDEX('NZS O&amp;G and CA100'!$D$5:$D$193, MATCH($A59, 'NZS O&amp;G and CA100'!$B$5:$B$193, 0)) = "Alignment", INDEX('NZS O&amp;G and CA100'!$E$5:$N$193, MATCH($A59, 'NZS O&amp;G and CA100'!$B$5:$B$193, 0),MATCH(M$3, 'NZS O&amp;G and CA100'!$E$3:$N$3, 0)),"")</f>
        <v/>
      </c>
      <c r="Z59" s="55"/>
      <c r="AA59" s="56"/>
      <c r="AB59" s="56"/>
      <c r="AC59" s="56"/>
      <c r="AD59" s="56"/>
      <c r="AE59" s="56"/>
      <c r="AF59" s="56"/>
      <c r="AG59" s="56"/>
      <c r="AH59" s="56"/>
      <c r="AI59" s="57"/>
      <c r="AK59" s="49"/>
      <c r="AL59" s="49"/>
      <c r="AM59" s="49"/>
      <c r="AN59" s="49"/>
      <c r="AO59" s="49"/>
    </row>
    <row r="60" spans="1:41" s="1" customFormat="1" ht="20.149999999999999" customHeight="1" outlineLevel="2">
      <c r="A60" s="302" t="s">
        <v>300</v>
      </c>
      <c r="B60" s="235" t="s">
        <v>112</v>
      </c>
      <c r="C60" s="236" t="str">
        <f>VLOOKUP(A60, 'NZS O&amp;G and CA100'!$B$7:$D$194, 3, FALSE)</f>
        <v>Alignment</v>
      </c>
      <c r="D60" s="310" t="str">
        <f>IF(INDEX('NZS O&amp;G and CA100'!$D$5:$D$193, MATCH($A60, 'NZS O&amp;G and CA100'!$B$5:$B$193, 0)) =$B$4, INDEX('NZS O&amp;G and CA100'!$E$5:$N$193, MATCH($A60, 'NZS O&amp;G and CA100'!$B$5:$B$193, 0),MATCH(D$3, 'NZS O&amp;G and CA100'!$E$3:$N$3, 0)),"")</f>
        <v/>
      </c>
      <c r="E60" s="311" t="str">
        <f>IF(INDEX('NZS O&amp;G and CA100'!$D$5:$D$193, MATCH($A60, 'NZS O&amp;G and CA100'!$B$5:$B$193, 0)) =$B$4, INDEX('NZS O&amp;G and CA100'!$E$5:$N$193, MATCH($A60, 'NZS O&amp;G and CA100'!$B$5:$B$193, 0),MATCH(E$3, 'NZS O&amp;G and CA100'!$E$3:$N$3, 0)),"")</f>
        <v/>
      </c>
      <c r="F60" s="311" t="str">
        <f>IF(INDEX('NZS O&amp;G and CA100'!$D$5:$D$193, MATCH($A60, 'NZS O&amp;G and CA100'!$B$5:$B$193, 0)) =$B$4, INDEX('NZS O&amp;G and CA100'!$E$5:$N$193, MATCH($A60, 'NZS O&amp;G and CA100'!$B$5:$B$193, 0),MATCH(F$3, 'NZS O&amp;G and CA100'!$E$3:$N$3, 0)),"")</f>
        <v/>
      </c>
      <c r="G60" s="311" t="str">
        <f>IF(INDEX('NZS O&amp;G and CA100'!$D$5:$D$193, MATCH($A60, 'NZS O&amp;G and CA100'!$B$5:$B$193, 0)) =$B$4, INDEX('NZS O&amp;G and CA100'!$E$5:$N$193, MATCH($A60, 'NZS O&amp;G and CA100'!$B$5:$B$193, 0),MATCH(G$3, 'NZS O&amp;G and CA100'!$E$3:$N$3, 0)),"")</f>
        <v/>
      </c>
      <c r="H60" s="311" t="str">
        <f>IF(INDEX('NZS O&amp;G and CA100'!$D$5:$D$193, MATCH($A60, 'NZS O&amp;G and CA100'!$B$5:$B$193, 0)) =$B$4, INDEX('NZS O&amp;G and CA100'!$E$5:$N$193, MATCH($A60, 'NZS O&amp;G and CA100'!$B$5:$B$193, 0),MATCH(H$3, 'NZS O&amp;G and CA100'!$E$3:$N$3, 0)),"")</f>
        <v/>
      </c>
      <c r="I60" s="311" t="str">
        <f>IF(INDEX('NZS O&amp;G and CA100'!$D$5:$D$193, MATCH($A60, 'NZS O&amp;G and CA100'!$B$5:$B$193, 0)) =$B$4, INDEX('NZS O&amp;G and CA100'!$E$5:$N$193, MATCH($A60, 'NZS O&amp;G and CA100'!$B$5:$B$193, 0),MATCH(I$3, 'NZS O&amp;G and CA100'!$E$3:$N$3, 0)),"")</f>
        <v/>
      </c>
      <c r="J60" s="311" t="str">
        <f>IF(INDEX('NZS O&amp;G and CA100'!$D$5:$D$193, MATCH($A60, 'NZS O&amp;G and CA100'!$B$5:$B$193, 0)) =$B$4, INDEX('NZS O&amp;G and CA100'!$E$5:$N$193, MATCH($A60, 'NZS O&amp;G and CA100'!$B$5:$B$193, 0),MATCH(J$3, 'NZS O&amp;G and CA100'!$E$3:$N$3, 0)),"")</f>
        <v/>
      </c>
      <c r="K60" s="311" t="str">
        <f>IF(INDEX('NZS O&amp;G and CA100'!$D$5:$D$193, MATCH($A60, 'NZS O&amp;G and CA100'!$B$5:$B$193, 0)) =$B$4, INDEX('NZS O&amp;G and CA100'!$E$5:$N$193, MATCH($A60, 'NZS O&amp;G and CA100'!$B$5:$B$193, 0),MATCH(K$3, 'NZS O&amp;G and CA100'!$E$3:$N$3, 0)),"")</f>
        <v/>
      </c>
      <c r="L60" s="311" t="str">
        <f>IF(INDEX('NZS O&amp;G and CA100'!$D$5:$D$193, MATCH($A60, 'NZS O&amp;G and CA100'!$B$5:$B$193, 0)) =$B$4, INDEX('NZS O&amp;G and CA100'!$E$5:$N$193, MATCH($A60, 'NZS O&amp;G and CA100'!$B$5:$B$193, 0),MATCH(L$3, 'NZS O&amp;G and CA100'!$E$3:$N$3, 0)),"")</f>
        <v/>
      </c>
      <c r="M60" s="312" t="str">
        <f>IF(INDEX('NZS O&amp;G and CA100'!$D$5:$D$193, MATCH($A60, 'NZS O&amp;G and CA100'!$B$5:$B$193, 0)) =$B$4, INDEX('NZS O&amp;G and CA100'!$E$5:$N$193, MATCH($A60, 'NZS O&amp;G and CA100'!$B$5:$B$193, 0),MATCH(M$3, 'NZS O&amp;G and CA100'!$E$3:$N$3, 0)),"")</f>
        <v/>
      </c>
      <c r="O60" s="55">
        <f>IF(INDEX('NZS O&amp;G and CA100'!$D$5:$D$193, MATCH($A60, 'NZS O&amp;G and CA100'!$B$5:$B$193, 0)) = "Alignment", INDEX('NZS O&amp;G and CA100'!$E$5:$N$193, MATCH($A60, 'NZS O&amp;G and CA100'!$B$5:$B$193, 0),MATCH(O$4, 'NZS O&amp;G and CA100'!$E$3:$N$3, 0)),"")</f>
        <v>0</v>
      </c>
      <c r="P60" s="56">
        <f>IF(INDEX('NZS O&amp;G and CA100'!$D$5:$D$193, MATCH($A60, 'NZS O&amp;G and CA100'!$B$5:$B$193, 0)) = "Alignment", INDEX('NZS O&amp;G and CA100'!$E$5:$N$193, MATCH($A60, 'NZS O&amp;G and CA100'!$B$5:$B$193, 0),MATCH(P$4, 'NZS O&amp;G and CA100'!$E$3:$N$3, 0)),"")</f>
        <v>0</v>
      </c>
      <c r="Q60" s="56">
        <f>IF(INDEX('NZS O&amp;G and CA100'!$D$5:$D$193, MATCH($A60, 'NZS O&amp;G and CA100'!$B$5:$B$193, 0)) = "Alignment", INDEX('NZS O&amp;G and CA100'!$E$5:$N$193, MATCH($A60, 'NZS O&amp;G and CA100'!$B$5:$B$193, 0),MATCH(Q$4, 'NZS O&amp;G and CA100'!$E$3:$N$3, 0)),"")</f>
        <v>0</v>
      </c>
      <c r="R60" s="56">
        <f>IF(INDEX('NZS O&amp;G and CA100'!$D$5:$D$193, MATCH($A60, 'NZS O&amp;G and CA100'!$B$5:$B$193, 0)) = "Alignment", INDEX('NZS O&amp;G and CA100'!$E$5:$N$193, MATCH($A60, 'NZS O&amp;G and CA100'!$B$5:$B$193, 0),MATCH(R$4, 'NZS O&amp;G and CA100'!$E$3:$N$3, 0)),"")</f>
        <v>1</v>
      </c>
      <c r="S60" s="56">
        <f>IF(INDEX('NZS O&amp;G and CA100'!$D$5:$D$193, MATCH($A60, 'NZS O&amp;G and CA100'!$B$5:$B$193, 0)) = "Alignment", INDEX('NZS O&amp;G and CA100'!$E$5:$N$193, MATCH($A60, 'NZS O&amp;G and CA100'!$B$5:$B$193, 0),MATCH(S$4, 'NZS O&amp;G and CA100'!$E$3:$N$3, 0)),"")</f>
        <v>0</v>
      </c>
      <c r="T60" s="56">
        <f>IF(INDEX('NZS O&amp;G and CA100'!$D$5:$D$193, MATCH($A60, 'NZS O&amp;G and CA100'!$B$5:$B$193, 0)) = "Alignment", INDEX('NZS O&amp;G and CA100'!$E$5:$N$193, MATCH($A60, 'NZS O&amp;G and CA100'!$B$5:$B$193, 0),MATCH(T$4, 'NZS O&amp;G and CA100'!$E$3:$N$3, 0)),"")</f>
        <v>0</v>
      </c>
      <c r="U60" s="56">
        <f>IF(INDEX('NZS O&amp;G and CA100'!$D$5:$D$193, MATCH($A60, 'NZS O&amp;G and CA100'!$B$5:$B$193, 0)) = "Alignment", INDEX('NZS O&amp;G and CA100'!$E$5:$N$193, MATCH($A60, 'NZS O&amp;G and CA100'!$B$5:$B$193, 0),MATCH(U$4, 'NZS O&amp;G and CA100'!$E$3:$N$3, 0)),"")</f>
        <v>0</v>
      </c>
      <c r="V60" s="56">
        <f>IF(INDEX('NZS O&amp;G and CA100'!$D$5:$D$193, MATCH($A60, 'NZS O&amp;G and CA100'!$B$5:$B$193, 0)) = "Alignment", INDEX('NZS O&amp;G and CA100'!$E$5:$N$193, MATCH($A60, 'NZS O&amp;G and CA100'!$B$5:$B$193, 0),MATCH(V$4, 'NZS O&amp;G and CA100'!$E$3:$N$3, 0)),"")</f>
        <v>0</v>
      </c>
      <c r="W60" s="56">
        <f>IF(INDEX('NZS O&amp;G and CA100'!$D$5:$D$193, MATCH($A60, 'NZS O&amp;G and CA100'!$B$5:$B$193, 0)) = "Alignment", INDEX('NZS O&amp;G and CA100'!$E$5:$N$193, MATCH($A60, 'NZS O&amp;G and CA100'!$B$5:$B$193, 0),MATCH(L$3, 'NZS O&amp;G and CA100'!$E$3:$N$3, 0)),"")</f>
        <v>0</v>
      </c>
      <c r="X60" s="57">
        <f>IF(INDEX('NZS O&amp;G and CA100'!$D$5:$D$193, MATCH($A60, 'NZS O&amp;G and CA100'!$B$5:$B$193, 0)) = "Alignment", INDEX('NZS O&amp;G and CA100'!$E$5:$N$193, MATCH($A60, 'NZS O&amp;G and CA100'!$B$5:$B$193, 0),MATCH(M$3, 'NZS O&amp;G and CA100'!$E$3:$N$3, 0)),"")</f>
        <v>1</v>
      </c>
      <c r="Z60" s="55"/>
      <c r="AA60" s="56"/>
      <c r="AB60" s="56"/>
      <c r="AC60" s="56"/>
      <c r="AD60" s="56"/>
      <c r="AE60" s="56"/>
      <c r="AF60" s="56"/>
      <c r="AG60" s="56"/>
      <c r="AH60" s="56"/>
      <c r="AI60" s="57"/>
      <c r="AK60" s="49"/>
      <c r="AL60" s="49"/>
      <c r="AM60" s="49"/>
      <c r="AN60" s="49"/>
      <c r="AO60" s="49"/>
    </row>
    <row r="61" spans="1:41" s="1" customFormat="1" ht="20.149999999999999" customHeight="1" outlineLevel="2">
      <c r="A61" s="302" t="s">
        <v>301</v>
      </c>
      <c r="B61" s="235" t="s">
        <v>113</v>
      </c>
      <c r="C61" s="236" t="str">
        <f>VLOOKUP(A61, 'NZS O&amp;G and CA100'!$B$7:$D$194, 3, FALSE)</f>
        <v>Disclosure</v>
      </c>
      <c r="D61" s="310">
        <f>IF(INDEX('NZS O&amp;G and CA100'!$D$5:$D$193, MATCH($A61, 'NZS O&amp;G and CA100'!$B$5:$B$193, 0)) =$B$4, INDEX('NZS O&amp;G and CA100'!$E$5:$N$193, MATCH($A61, 'NZS O&amp;G and CA100'!$B$5:$B$193, 0),MATCH(D$3, 'NZS O&amp;G and CA100'!$E$3:$N$3, 0)),"")</f>
        <v>0</v>
      </c>
      <c r="E61" s="311">
        <f>IF(INDEX('NZS O&amp;G and CA100'!$D$5:$D$193, MATCH($A61, 'NZS O&amp;G and CA100'!$B$5:$B$193, 0)) =$B$4, INDEX('NZS O&amp;G and CA100'!$E$5:$N$193, MATCH($A61, 'NZS O&amp;G and CA100'!$B$5:$B$193, 0),MATCH(E$3, 'NZS O&amp;G and CA100'!$E$3:$N$3, 0)),"")</f>
        <v>0</v>
      </c>
      <c r="F61" s="311">
        <f>IF(INDEX('NZS O&amp;G and CA100'!$D$5:$D$193, MATCH($A61, 'NZS O&amp;G and CA100'!$B$5:$B$193, 0)) =$B$4, INDEX('NZS O&amp;G and CA100'!$E$5:$N$193, MATCH($A61, 'NZS O&amp;G and CA100'!$B$5:$B$193, 0),MATCH(F$3, 'NZS O&amp;G and CA100'!$E$3:$N$3, 0)),"")</f>
        <v>0</v>
      </c>
      <c r="G61" s="311">
        <f>IF(INDEX('NZS O&amp;G and CA100'!$D$5:$D$193, MATCH($A61, 'NZS O&amp;G and CA100'!$B$5:$B$193, 0)) =$B$4, INDEX('NZS O&amp;G and CA100'!$E$5:$N$193, MATCH($A61, 'NZS O&amp;G and CA100'!$B$5:$B$193, 0),MATCH(G$3, 'NZS O&amp;G and CA100'!$E$3:$N$3, 0)),"")</f>
        <v>0</v>
      </c>
      <c r="H61" s="311">
        <f>IF(INDEX('NZS O&amp;G and CA100'!$D$5:$D$193, MATCH($A61, 'NZS O&amp;G and CA100'!$B$5:$B$193, 0)) =$B$4, INDEX('NZS O&amp;G and CA100'!$E$5:$N$193, MATCH($A61, 'NZS O&amp;G and CA100'!$B$5:$B$193, 0),MATCH(H$3, 'NZS O&amp;G and CA100'!$E$3:$N$3, 0)),"")</f>
        <v>0</v>
      </c>
      <c r="I61" s="311">
        <f>IF(INDEX('NZS O&amp;G and CA100'!$D$5:$D$193, MATCH($A61, 'NZS O&amp;G and CA100'!$B$5:$B$193, 0)) =$B$4, INDEX('NZS O&amp;G and CA100'!$E$5:$N$193, MATCH($A61, 'NZS O&amp;G and CA100'!$B$5:$B$193, 0),MATCH(I$3, 'NZS O&amp;G and CA100'!$E$3:$N$3, 0)),"")</f>
        <v>0</v>
      </c>
      <c r="J61" s="311">
        <f>IF(INDEX('NZS O&amp;G and CA100'!$D$5:$D$193, MATCH($A61, 'NZS O&amp;G and CA100'!$B$5:$B$193, 0)) =$B$4, INDEX('NZS O&amp;G and CA100'!$E$5:$N$193, MATCH($A61, 'NZS O&amp;G and CA100'!$B$5:$B$193, 0),MATCH(J$3, 'NZS O&amp;G and CA100'!$E$3:$N$3, 0)),"")</f>
        <v>0</v>
      </c>
      <c r="K61" s="311">
        <f>IF(INDEX('NZS O&amp;G and CA100'!$D$5:$D$193, MATCH($A61, 'NZS O&amp;G and CA100'!$B$5:$B$193, 0)) =$B$4, INDEX('NZS O&amp;G and CA100'!$E$5:$N$193, MATCH($A61, 'NZS O&amp;G and CA100'!$B$5:$B$193, 0),MATCH(K$3, 'NZS O&amp;G and CA100'!$E$3:$N$3, 0)),"")</f>
        <v>0</v>
      </c>
      <c r="L61" s="311">
        <f>IF(INDEX('NZS O&amp;G and CA100'!$D$5:$D$193, MATCH($A61, 'NZS O&amp;G and CA100'!$B$5:$B$193, 0)) =$B$4, INDEX('NZS O&amp;G and CA100'!$E$5:$N$193, MATCH($A61, 'NZS O&amp;G and CA100'!$B$5:$B$193, 0),MATCH(L$3, 'NZS O&amp;G and CA100'!$E$3:$N$3, 0)),"")</f>
        <v>0</v>
      </c>
      <c r="M61" s="312">
        <f>IF(INDEX('NZS O&amp;G and CA100'!$D$5:$D$193, MATCH($A61, 'NZS O&amp;G and CA100'!$B$5:$B$193, 0)) =$B$4, INDEX('NZS O&amp;G and CA100'!$E$5:$N$193, MATCH($A61, 'NZS O&amp;G and CA100'!$B$5:$B$193, 0),MATCH(M$3, 'NZS O&amp;G and CA100'!$E$3:$N$3, 0)),"")</f>
        <v>0</v>
      </c>
      <c r="O61" s="55" t="str">
        <f>IF(INDEX('NZS O&amp;G and CA100'!$D$5:$D$193, MATCH($A61, 'NZS O&amp;G and CA100'!$B$5:$B$193, 0)) = "Alignment", INDEX('NZS O&amp;G and CA100'!$E$5:$N$193, MATCH($A61, 'NZS O&amp;G and CA100'!$B$5:$B$193, 0),MATCH(O$4, 'NZS O&amp;G and CA100'!$E$3:$N$3, 0)),"")</f>
        <v/>
      </c>
      <c r="P61" s="56" t="str">
        <f>IF(INDEX('NZS O&amp;G and CA100'!$D$5:$D$193, MATCH($A61, 'NZS O&amp;G and CA100'!$B$5:$B$193, 0)) = "Alignment", INDEX('NZS O&amp;G and CA100'!$E$5:$N$193, MATCH($A61, 'NZS O&amp;G and CA100'!$B$5:$B$193, 0),MATCH(P$4, 'NZS O&amp;G and CA100'!$E$3:$N$3, 0)),"")</f>
        <v/>
      </c>
      <c r="Q61" s="56" t="str">
        <f>IF(INDEX('NZS O&amp;G and CA100'!$D$5:$D$193, MATCH($A61, 'NZS O&amp;G and CA100'!$B$5:$B$193, 0)) = "Alignment", INDEX('NZS O&amp;G and CA100'!$E$5:$N$193, MATCH($A61, 'NZS O&amp;G and CA100'!$B$5:$B$193, 0),MATCH(Q$4, 'NZS O&amp;G and CA100'!$E$3:$N$3, 0)),"")</f>
        <v/>
      </c>
      <c r="R61" s="56" t="str">
        <f>IF(INDEX('NZS O&amp;G and CA100'!$D$5:$D$193, MATCH($A61, 'NZS O&amp;G and CA100'!$B$5:$B$193, 0)) = "Alignment", INDEX('NZS O&amp;G and CA100'!$E$5:$N$193, MATCH($A61, 'NZS O&amp;G and CA100'!$B$5:$B$193, 0),MATCH(R$4, 'NZS O&amp;G and CA100'!$E$3:$N$3, 0)),"")</f>
        <v/>
      </c>
      <c r="S61" s="56" t="str">
        <f>IF(INDEX('NZS O&amp;G and CA100'!$D$5:$D$193, MATCH($A61, 'NZS O&amp;G and CA100'!$B$5:$B$193, 0)) = "Alignment", INDEX('NZS O&amp;G and CA100'!$E$5:$N$193, MATCH($A61, 'NZS O&amp;G and CA100'!$B$5:$B$193, 0),MATCH(S$4, 'NZS O&amp;G and CA100'!$E$3:$N$3, 0)),"")</f>
        <v/>
      </c>
      <c r="T61" s="56" t="str">
        <f>IF(INDEX('NZS O&amp;G and CA100'!$D$5:$D$193, MATCH($A61, 'NZS O&amp;G and CA100'!$B$5:$B$193, 0)) = "Alignment", INDEX('NZS O&amp;G and CA100'!$E$5:$N$193, MATCH($A61, 'NZS O&amp;G and CA100'!$B$5:$B$193, 0),MATCH(T$4, 'NZS O&amp;G and CA100'!$E$3:$N$3, 0)),"")</f>
        <v/>
      </c>
      <c r="U61" s="56" t="str">
        <f>IF(INDEX('NZS O&amp;G and CA100'!$D$5:$D$193, MATCH($A61, 'NZS O&amp;G and CA100'!$B$5:$B$193, 0)) = "Alignment", INDEX('NZS O&amp;G and CA100'!$E$5:$N$193, MATCH($A61, 'NZS O&amp;G and CA100'!$B$5:$B$193, 0),MATCH(U$4, 'NZS O&amp;G and CA100'!$E$3:$N$3, 0)),"")</f>
        <v/>
      </c>
      <c r="V61" s="56" t="str">
        <f>IF(INDEX('NZS O&amp;G and CA100'!$D$5:$D$193, MATCH($A61, 'NZS O&amp;G and CA100'!$B$5:$B$193, 0)) = "Alignment", INDEX('NZS O&amp;G and CA100'!$E$5:$N$193, MATCH($A61, 'NZS O&amp;G and CA100'!$B$5:$B$193, 0),MATCH(V$4, 'NZS O&amp;G and CA100'!$E$3:$N$3, 0)),"")</f>
        <v/>
      </c>
      <c r="W61" s="56" t="str">
        <f>IF(INDEX('NZS O&amp;G and CA100'!$D$5:$D$193, MATCH($A61, 'NZS O&amp;G and CA100'!$B$5:$B$193, 0)) = "Alignment", INDEX('NZS O&amp;G and CA100'!$E$5:$N$193, MATCH($A61, 'NZS O&amp;G and CA100'!$B$5:$B$193, 0),MATCH(L$3, 'NZS O&amp;G and CA100'!$E$3:$N$3, 0)),"")</f>
        <v/>
      </c>
      <c r="X61" s="57" t="str">
        <f>IF(INDEX('NZS O&amp;G and CA100'!$D$5:$D$193, MATCH($A61, 'NZS O&amp;G and CA100'!$B$5:$B$193, 0)) = "Alignment", INDEX('NZS O&amp;G and CA100'!$E$5:$N$193, MATCH($A61, 'NZS O&amp;G and CA100'!$B$5:$B$193, 0),MATCH(M$3, 'NZS O&amp;G and CA100'!$E$3:$N$3, 0)),"")</f>
        <v/>
      </c>
      <c r="Z61" s="55"/>
      <c r="AA61" s="56"/>
      <c r="AB61" s="56"/>
      <c r="AC61" s="56"/>
      <c r="AD61" s="56"/>
      <c r="AE61" s="56"/>
      <c r="AF61" s="56"/>
      <c r="AG61" s="56"/>
      <c r="AH61" s="56"/>
      <c r="AI61" s="57"/>
      <c r="AK61" s="49"/>
      <c r="AL61" s="49"/>
      <c r="AM61" s="49"/>
      <c r="AN61" s="49"/>
      <c r="AO61" s="49"/>
    </row>
    <row r="62" spans="1:41" s="1" customFormat="1" ht="20.149999999999999" customHeight="1" outlineLevel="2">
      <c r="A62" s="302" t="s">
        <v>302</v>
      </c>
      <c r="B62" s="235" t="s">
        <v>114</v>
      </c>
      <c r="C62" s="236" t="str">
        <f>VLOOKUP(A62, 'NZS O&amp;G and CA100'!$B$7:$D$194, 3, FALSE)</f>
        <v>Disclosure</v>
      </c>
      <c r="D62" s="310">
        <f>IF(INDEX('NZS O&amp;G and CA100'!$D$5:$D$193, MATCH($A62, 'NZS O&amp;G and CA100'!$B$5:$B$193, 0)) =$B$4, INDEX('NZS O&amp;G and CA100'!$E$5:$N$193, MATCH($A62, 'NZS O&amp;G and CA100'!$B$5:$B$193, 0),MATCH(D$3, 'NZS O&amp;G and CA100'!$E$3:$N$3, 0)),"")</f>
        <v>0</v>
      </c>
      <c r="E62" s="311">
        <f>IF(INDEX('NZS O&amp;G and CA100'!$D$5:$D$193, MATCH($A62, 'NZS O&amp;G and CA100'!$B$5:$B$193, 0)) =$B$4, INDEX('NZS O&amp;G and CA100'!$E$5:$N$193, MATCH($A62, 'NZS O&amp;G and CA100'!$B$5:$B$193, 0),MATCH(E$3, 'NZS O&amp;G and CA100'!$E$3:$N$3, 0)),"")</f>
        <v>0</v>
      </c>
      <c r="F62" s="311">
        <f>IF(INDEX('NZS O&amp;G and CA100'!$D$5:$D$193, MATCH($A62, 'NZS O&amp;G and CA100'!$B$5:$B$193, 0)) =$B$4, INDEX('NZS O&amp;G and CA100'!$E$5:$N$193, MATCH($A62, 'NZS O&amp;G and CA100'!$B$5:$B$193, 0),MATCH(F$3, 'NZS O&amp;G and CA100'!$E$3:$N$3, 0)),"")</f>
        <v>0</v>
      </c>
      <c r="G62" s="311">
        <f>IF(INDEX('NZS O&amp;G and CA100'!$D$5:$D$193, MATCH($A62, 'NZS O&amp;G and CA100'!$B$5:$B$193, 0)) =$B$4, INDEX('NZS O&amp;G and CA100'!$E$5:$N$193, MATCH($A62, 'NZS O&amp;G and CA100'!$B$5:$B$193, 0),MATCH(G$3, 'NZS O&amp;G and CA100'!$E$3:$N$3, 0)),"")</f>
        <v>1</v>
      </c>
      <c r="H62" s="311">
        <f>IF(INDEX('NZS O&amp;G and CA100'!$D$5:$D$193, MATCH($A62, 'NZS O&amp;G and CA100'!$B$5:$B$193, 0)) =$B$4, INDEX('NZS O&amp;G and CA100'!$E$5:$N$193, MATCH($A62, 'NZS O&amp;G and CA100'!$B$5:$B$193, 0),MATCH(H$3, 'NZS O&amp;G and CA100'!$E$3:$N$3, 0)),"")</f>
        <v>0</v>
      </c>
      <c r="I62" s="311">
        <f>IF(INDEX('NZS O&amp;G and CA100'!$D$5:$D$193, MATCH($A62, 'NZS O&amp;G and CA100'!$B$5:$B$193, 0)) =$B$4, INDEX('NZS O&amp;G and CA100'!$E$5:$N$193, MATCH($A62, 'NZS O&amp;G and CA100'!$B$5:$B$193, 0),MATCH(I$3, 'NZS O&amp;G and CA100'!$E$3:$N$3, 0)),"")</f>
        <v>0</v>
      </c>
      <c r="J62" s="311">
        <f>IF(INDEX('NZS O&amp;G and CA100'!$D$5:$D$193, MATCH($A62, 'NZS O&amp;G and CA100'!$B$5:$B$193, 0)) =$B$4, INDEX('NZS O&amp;G and CA100'!$E$5:$N$193, MATCH($A62, 'NZS O&amp;G and CA100'!$B$5:$B$193, 0),MATCH(J$3, 'NZS O&amp;G and CA100'!$E$3:$N$3, 0)),"")</f>
        <v>0</v>
      </c>
      <c r="K62" s="311">
        <f>IF(INDEX('NZS O&amp;G and CA100'!$D$5:$D$193, MATCH($A62, 'NZS O&amp;G and CA100'!$B$5:$B$193, 0)) =$B$4, INDEX('NZS O&amp;G and CA100'!$E$5:$N$193, MATCH($A62, 'NZS O&amp;G and CA100'!$B$5:$B$193, 0),MATCH(K$3, 'NZS O&amp;G and CA100'!$E$3:$N$3, 0)),"")</f>
        <v>0</v>
      </c>
      <c r="L62" s="311">
        <f>IF(INDEX('NZS O&amp;G and CA100'!$D$5:$D$193, MATCH($A62, 'NZS O&amp;G and CA100'!$B$5:$B$193, 0)) =$B$4, INDEX('NZS O&amp;G and CA100'!$E$5:$N$193, MATCH($A62, 'NZS O&amp;G and CA100'!$B$5:$B$193, 0),MATCH(L$3, 'NZS O&amp;G and CA100'!$E$3:$N$3, 0)),"")</f>
        <v>0</v>
      </c>
      <c r="M62" s="312">
        <f>IF(INDEX('NZS O&amp;G and CA100'!$D$5:$D$193, MATCH($A62, 'NZS O&amp;G and CA100'!$B$5:$B$193, 0)) =$B$4, INDEX('NZS O&amp;G and CA100'!$E$5:$N$193, MATCH($A62, 'NZS O&amp;G and CA100'!$B$5:$B$193, 0),MATCH(M$3, 'NZS O&amp;G and CA100'!$E$3:$N$3, 0)),"")</f>
        <v>1</v>
      </c>
      <c r="O62" s="55" t="str">
        <f>IF(INDEX('NZS O&amp;G and CA100'!$D$5:$D$193, MATCH($A62, 'NZS O&amp;G and CA100'!$B$5:$B$193, 0)) = "Alignment", INDEX('NZS O&amp;G and CA100'!$E$5:$N$193, MATCH($A62, 'NZS O&amp;G and CA100'!$B$5:$B$193, 0),MATCH(O$4, 'NZS O&amp;G and CA100'!$E$3:$N$3, 0)),"")</f>
        <v/>
      </c>
      <c r="P62" s="56" t="str">
        <f>IF(INDEX('NZS O&amp;G and CA100'!$D$5:$D$193, MATCH($A62, 'NZS O&amp;G and CA100'!$B$5:$B$193, 0)) = "Alignment", INDEX('NZS O&amp;G and CA100'!$E$5:$N$193, MATCH($A62, 'NZS O&amp;G and CA100'!$B$5:$B$193, 0),MATCH(P$4, 'NZS O&amp;G and CA100'!$E$3:$N$3, 0)),"")</f>
        <v/>
      </c>
      <c r="Q62" s="56" t="str">
        <f>IF(INDEX('NZS O&amp;G and CA100'!$D$5:$D$193, MATCH($A62, 'NZS O&amp;G and CA100'!$B$5:$B$193, 0)) = "Alignment", INDEX('NZS O&amp;G and CA100'!$E$5:$N$193, MATCH($A62, 'NZS O&amp;G and CA100'!$B$5:$B$193, 0),MATCH(Q$4, 'NZS O&amp;G and CA100'!$E$3:$N$3, 0)),"")</f>
        <v/>
      </c>
      <c r="R62" s="56" t="str">
        <f>IF(INDEX('NZS O&amp;G and CA100'!$D$5:$D$193, MATCH($A62, 'NZS O&amp;G and CA100'!$B$5:$B$193, 0)) = "Alignment", INDEX('NZS O&amp;G and CA100'!$E$5:$N$193, MATCH($A62, 'NZS O&amp;G and CA100'!$B$5:$B$193, 0),MATCH(R$4, 'NZS O&amp;G and CA100'!$E$3:$N$3, 0)),"")</f>
        <v/>
      </c>
      <c r="S62" s="56" t="str">
        <f>IF(INDEX('NZS O&amp;G and CA100'!$D$5:$D$193, MATCH($A62, 'NZS O&amp;G and CA100'!$B$5:$B$193, 0)) = "Alignment", INDEX('NZS O&amp;G and CA100'!$E$5:$N$193, MATCH($A62, 'NZS O&amp;G and CA100'!$B$5:$B$193, 0),MATCH(S$4, 'NZS O&amp;G and CA100'!$E$3:$N$3, 0)),"")</f>
        <v/>
      </c>
      <c r="T62" s="56" t="str">
        <f>IF(INDEX('NZS O&amp;G and CA100'!$D$5:$D$193, MATCH($A62, 'NZS O&amp;G and CA100'!$B$5:$B$193, 0)) = "Alignment", INDEX('NZS O&amp;G and CA100'!$E$5:$N$193, MATCH($A62, 'NZS O&amp;G and CA100'!$B$5:$B$193, 0),MATCH(T$4, 'NZS O&amp;G and CA100'!$E$3:$N$3, 0)),"")</f>
        <v/>
      </c>
      <c r="U62" s="56" t="str">
        <f>IF(INDEX('NZS O&amp;G and CA100'!$D$5:$D$193, MATCH($A62, 'NZS O&amp;G and CA100'!$B$5:$B$193, 0)) = "Alignment", INDEX('NZS O&amp;G and CA100'!$E$5:$N$193, MATCH($A62, 'NZS O&amp;G and CA100'!$B$5:$B$193, 0),MATCH(U$4, 'NZS O&amp;G and CA100'!$E$3:$N$3, 0)),"")</f>
        <v/>
      </c>
      <c r="V62" s="56" t="str">
        <f>IF(INDEX('NZS O&amp;G and CA100'!$D$5:$D$193, MATCH($A62, 'NZS O&amp;G and CA100'!$B$5:$B$193, 0)) = "Alignment", INDEX('NZS O&amp;G and CA100'!$E$5:$N$193, MATCH($A62, 'NZS O&amp;G and CA100'!$B$5:$B$193, 0),MATCH(V$4, 'NZS O&amp;G and CA100'!$E$3:$N$3, 0)),"")</f>
        <v/>
      </c>
      <c r="W62" s="56" t="str">
        <f>IF(INDEX('NZS O&amp;G and CA100'!$D$5:$D$193, MATCH($A62, 'NZS O&amp;G and CA100'!$B$5:$B$193, 0)) = "Alignment", INDEX('NZS O&amp;G and CA100'!$E$5:$N$193, MATCH($A62, 'NZS O&amp;G and CA100'!$B$5:$B$193, 0),MATCH(L$3, 'NZS O&amp;G and CA100'!$E$3:$N$3, 0)),"")</f>
        <v/>
      </c>
      <c r="X62" s="57" t="str">
        <f>IF(INDEX('NZS O&amp;G and CA100'!$D$5:$D$193, MATCH($A62, 'NZS O&amp;G and CA100'!$B$5:$B$193, 0)) = "Alignment", INDEX('NZS O&amp;G and CA100'!$E$5:$N$193, MATCH($A62, 'NZS O&amp;G and CA100'!$B$5:$B$193, 0),MATCH(M$3, 'NZS O&amp;G and CA100'!$E$3:$N$3, 0)),"")</f>
        <v/>
      </c>
      <c r="Z62" s="55"/>
      <c r="AA62" s="56"/>
      <c r="AB62" s="56"/>
      <c r="AC62" s="56"/>
      <c r="AD62" s="56"/>
      <c r="AE62" s="56"/>
      <c r="AF62" s="56"/>
      <c r="AG62" s="56"/>
      <c r="AH62" s="56"/>
      <c r="AI62" s="57"/>
      <c r="AK62" s="49"/>
      <c r="AL62" s="49"/>
      <c r="AM62" s="49"/>
      <c r="AN62" s="49"/>
      <c r="AO62" s="49"/>
    </row>
    <row r="63" spans="1:41" s="1" customFormat="1" ht="20.149999999999999" customHeight="1" outlineLevel="2">
      <c r="A63" s="302" t="s">
        <v>303</v>
      </c>
      <c r="B63" s="235" t="s">
        <v>304</v>
      </c>
      <c r="C63" s="236" t="str">
        <f>VLOOKUP(A63, 'NZS O&amp;G and CA100'!$B$7:$D$194, 3, FALSE)</f>
        <v>DIsclosure</v>
      </c>
      <c r="D63" s="310" t="str">
        <f>IF(INDEX('NZS O&amp;G and CA100'!$D$5:$D$193, MATCH($A63, 'NZS O&amp;G and CA100'!$B$5:$B$193, 0)) =$B$4, INDEX('NZS O&amp;G and CA100'!$E$5:$N$193, MATCH($A63, 'NZS O&amp;G and CA100'!$B$5:$B$193, 0),MATCH(D$3, 'NZS O&amp;G and CA100'!$E$3:$N$3, 0)),"")</f>
        <v>Not Applicable</v>
      </c>
      <c r="E63" s="311" t="str">
        <f>IF(INDEX('NZS O&amp;G and CA100'!$D$5:$D$193, MATCH($A63, 'NZS O&amp;G and CA100'!$B$5:$B$193, 0)) =$B$4, INDEX('NZS O&amp;G and CA100'!$E$5:$N$193, MATCH($A63, 'NZS O&amp;G and CA100'!$B$5:$B$193, 0),MATCH(E$3, 'NZS O&amp;G and CA100'!$E$3:$N$3, 0)),"")</f>
        <v>Not Applicable</v>
      </c>
      <c r="F63" s="311" t="str">
        <f>IF(INDEX('NZS O&amp;G and CA100'!$D$5:$D$193, MATCH($A63, 'NZS O&amp;G and CA100'!$B$5:$B$193, 0)) =$B$4, INDEX('NZS O&amp;G and CA100'!$E$5:$N$193, MATCH($A63, 'NZS O&amp;G and CA100'!$B$5:$B$193, 0),MATCH(F$3, 'NZS O&amp;G and CA100'!$E$3:$N$3, 0)),"")</f>
        <v>Not Applicable</v>
      </c>
      <c r="G63" s="311" t="str">
        <f>IF(INDEX('NZS O&amp;G and CA100'!$D$5:$D$193, MATCH($A63, 'NZS O&amp;G and CA100'!$B$5:$B$193, 0)) =$B$4, INDEX('NZS O&amp;G and CA100'!$E$5:$N$193, MATCH($A63, 'NZS O&amp;G and CA100'!$B$5:$B$193, 0),MATCH(G$3, 'NZS O&amp;G and CA100'!$E$3:$N$3, 0)),"")</f>
        <v>Not Applicable</v>
      </c>
      <c r="H63" s="311">
        <f>IF(INDEX('NZS O&amp;G and CA100'!$D$5:$D$193, MATCH($A63, 'NZS O&amp;G and CA100'!$B$5:$B$193, 0)) =$B$4, INDEX('NZS O&amp;G and CA100'!$E$5:$N$193, MATCH($A63, 'NZS O&amp;G and CA100'!$B$5:$B$193, 0),MATCH(H$3, 'NZS O&amp;G and CA100'!$E$3:$N$3, 0)),"")</f>
        <v>0</v>
      </c>
      <c r="I63" s="311">
        <f>IF(INDEX('NZS O&amp;G and CA100'!$D$5:$D$193, MATCH($A63, 'NZS O&amp;G and CA100'!$B$5:$B$193, 0)) =$B$4, INDEX('NZS O&amp;G and CA100'!$E$5:$N$193, MATCH($A63, 'NZS O&amp;G and CA100'!$B$5:$B$193, 0),MATCH(I$3, 'NZS O&amp;G and CA100'!$E$3:$N$3, 0)),"")</f>
        <v>0</v>
      </c>
      <c r="J63" s="311">
        <f>IF(INDEX('NZS O&amp;G and CA100'!$D$5:$D$193, MATCH($A63, 'NZS O&amp;G and CA100'!$B$5:$B$193, 0)) =$B$4, INDEX('NZS O&amp;G and CA100'!$E$5:$N$193, MATCH($A63, 'NZS O&amp;G and CA100'!$B$5:$B$193, 0),MATCH(J$3, 'NZS O&amp;G and CA100'!$E$3:$N$3, 0)),"")</f>
        <v>0</v>
      </c>
      <c r="K63" s="311" t="str">
        <f>IF(INDEX('NZS O&amp;G and CA100'!$D$5:$D$193, MATCH($A63, 'NZS O&amp;G and CA100'!$B$5:$B$193, 0)) =$B$4, INDEX('NZS O&amp;G and CA100'!$E$5:$N$193, MATCH($A63, 'NZS O&amp;G and CA100'!$B$5:$B$193, 0),MATCH(K$3, 'NZS O&amp;G and CA100'!$E$3:$N$3, 0)),"")</f>
        <v>Not Applicable</v>
      </c>
      <c r="L63" s="311" t="str">
        <f>IF(INDEX('NZS O&amp;G and CA100'!$D$5:$D$193, MATCH($A63, 'NZS O&amp;G and CA100'!$B$5:$B$193, 0)) =$B$4, INDEX('NZS O&amp;G and CA100'!$E$5:$N$193, MATCH($A63, 'NZS O&amp;G and CA100'!$B$5:$B$193, 0),MATCH(L$3, 'NZS O&amp;G and CA100'!$E$3:$N$3, 0)),"")</f>
        <v>Not Applicable</v>
      </c>
      <c r="M63" s="312" t="str">
        <f>IF(INDEX('NZS O&amp;G and CA100'!$D$5:$D$193, MATCH($A63, 'NZS O&amp;G and CA100'!$B$5:$B$193, 0)) =$B$4, INDEX('NZS O&amp;G and CA100'!$E$5:$N$193, MATCH($A63, 'NZS O&amp;G and CA100'!$B$5:$B$193, 0),MATCH(M$3, 'NZS O&amp;G and CA100'!$E$3:$N$3, 0)),"")</f>
        <v>Not Applicable</v>
      </c>
      <c r="O63" s="55" t="str">
        <f>IF(INDEX('NZS O&amp;G and CA100'!$D$5:$D$193, MATCH($A63, 'NZS O&amp;G and CA100'!$B$5:$B$193, 0)) = "Alignment", INDEX('NZS O&amp;G and CA100'!$E$5:$N$193, MATCH($A63, 'NZS O&amp;G and CA100'!$B$5:$B$193, 0),MATCH(O$4, 'NZS O&amp;G and CA100'!$E$3:$N$3, 0)),"")</f>
        <v/>
      </c>
      <c r="P63" s="56" t="str">
        <f>IF(INDEX('NZS O&amp;G and CA100'!$D$5:$D$193, MATCH($A63, 'NZS O&amp;G and CA100'!$B$5:$B$193, 0)) = "Alignment", INDEX('NZS O&amp;G and CA100'!$E$5:$N$193, MATCH($A63, 'NZS O&amp;G and CA100'!$B$5:$B$193, 0),MATCH(P$4, 'NZS O&amp;G and CA100'!$E$3:$N$3, 0)),"")</f>
        <v/>
      </c>
      <c r="Q63" s="56" t="str">
        <f>IF(INDEX('NZS O&amp;G and CA100'!$D$5:$D$193, MATCH($A63, 'NZS O&amp;G and CA100'!$B$5:$B$193, 0)) = "Alignment", INDEX('NZS O&amp;G and CA100'!$E$5:$N$193, MATCH($A63, 'NZS O&amp;G and CA100'!$B$5:$B$193, 0),MATCH(Q$4, 'NZS O&amp;G and CA100'!$E$3:$N$3, 0)),"")</f>
        <v/>
      </c>
      <c r="R63" s="56" t="str">
        <f>IF(INDEX('NZS O&amp;G and CA100'!$D$5:$D$193, MATCH($A63, 'NZS O&amp;G and CA100'!$B$5:$B$193, 0)) = "Alignment", INDEX('NZS O&amp;G and CA100'!$E$5:$N$193, MATCH($A63, 'NZS O&amp;G and CA100'!$B$5:$B$193, 0),MATCH(R$4, 'NZS O&amp;G and CA100'!$E$3:$N$3, 0)),"")</f>
        <v/>
      </c>
      <c r="S63" s="56" t="str">
        <f>IF(INDEX('NZS O&amp;G and CA100'!$D$5:$D$193, MATCH($A63, 'NZS O&amp;G and CA100'!$B$5:$B$193, 0)) = "Alignment", INDEX('NZS O&amp;G and CA100'!$E$5:$N$193, MATCH($A63, 'NZS O&amp;G and CA100'!$B$5:$B$193, 0),MATCH(S$4, 'NZS O&amp;G and CA100'!$E$3:$N$3, 0)),"")</f>
        <v/>
      </c>
      <c r="T63" s="56" t="str">
        <f>IF(INDEX('NZS O&amp;G and CA100'!$D$5:$D$193, MATCH($A63, 'NZS O&amp;G and CA100'!$B$5:$B$193, 0)) = "Alignment", INDEX('NZS O&amp;G and CA100'!$E$5:$N$193, MATCH($A63, 'NZS O&amp;G and CA100'!$B$5:$B$193, 0),MATCH(T$4, 'NZS O&amp;G and CA100'!$E$3:$N$3, 0)),"")</f>
        <v/>
      </c>
      <c r="U63" s="56" t="str">
        <f>IF(INDEX('NZS O&amp;G and CA100'!$D$5:$D$193, MATCH($A63, 'NZS O&amp;G and CA100'!$B$5:$B$193, 0)) = "Alignment", INDEX('NZS O&amp;G and CA100'!$E$5:$N$193, MATCH($A63, 'NZS O&amp;G and CA100'!$B$5:$B$193, 0),MATCH(U$4, 'NZS O&amp;G and CA100'!$E$3:$N$3, 0)),"")</f>
        <v/>
      </c>
      <c r="V63" s="56" t="str">
        <f>IF(INDEX('NZS O&amp;G and CA100'!$D$5:$D$193, MATCH($A63, 'NZS O&amp;G and CA100'!$B$5:$B$193, 0)) = "Alignment", INDEX('NZS O&amp;G and CA100'!$E$5:$N$193, MATCH($A63, 'NZS O&amp;G and CA100'!$B$5:$B$193, 0),MATCH(V$4, 'NZS O&amp;G and CA100'!$E$3:$N$3, 0)),"")</f>
        <v/>
      </c>
      <c r="W63" s="56" t="str">
        <f>IF(INDEX('NZS O&amp;G and CA100'!$D$5:$D$193, MATCH($A63, 'NZS O&amp;G and CA100'!$B$5:$B$193, 0)) = "Alignment", INDEX('NZS O&amp;G and CA100'!$E$5:$N$193, MATCH($A63, 'NZS O&amp;G and CA100'!$B$5:$B$193, 0),MATCH(L$3, 'NZS O&amp;G and CA100'!$E$3:$N$3, 0)),"")</f>
        <v/>
      </c>
      <c r="X63" s="57" t="str">
        <f>IF(INDEX('NZS O&amp;G and CA100'!$D$5:$D$193, MATCH($A63, 'NZS O&amp;G and CA100'!$B$5:$B$193, 0)) = "Alignment", INDEX('NZS O&amp;G and CA100'!$E$5:$N$193, MATCH($A63, 'NZS O&amp;G and CA100'!$B$5:$B$193, 0),MATCH(M$3, 'NZS O&amp;G and CA100'!$E$3:$N$3, 0)),"")</f>
        <v/>
      </c>
      <c r="Z63" s="55"/>
      <c r="AA63" s="56"/>
      <c r="AB63" s="56"/>
      <c r="AC63" s="56"/>
      <c r="AD63" s="56"/>
      <c r="AE63" s="56"/>
      <c r="AF63" s="56"/>
      <c r="AG63" s="56"/>
      <c r="AH63" s="56"/>
      <c r="AI63" s="57"/>
      <c r="AK63" s="49"/>
      <c r="AL63" s="49"/>
      <c r="AM63" s="49"/>
      <c r="AN63" s="49"/>
      <c r="AO63" s="49"/>
    </row>
    <row r="64" spans="1:41" s="1" customFormat="1" ht="20.149999999999999" customHeight="1" outlineLevel="2">
      <c r="A64" s="302" t="s">
        <v>305</v>
      </c>
      <c r="B64" s="235" t="s">
        <v>116</v>
      </c>
      <c r="C64" s="236" t="str">
        <f>VLOOKUP(A64, 'NZS O&amp;G and CA100'!$B$7:$D$194, 3, FALSE)</f>
        <v>Disclosure</v>
      </c>
      <c r="D64" s="310">
        <f>IF(INDEX('NZS O&amp;G and CA100'!$D$5:$D$193, MATCH($A64, 'NZS O&amp;G and CA100'!$B$5:$B$193, 0)) =$B$4, INDEX('NZS O&amp;G and CA100'!$E$5:$N$193, MATCH($A64, 'NZS O&amp;G and CA100'!$B$5:$B$193, 0),MATCH(D$3, 'NZS O&amp;G and CA100'!$E$3:$N$3, 0)),"")</f>
        <v>0</v>
      </c>
      <c r="E64" s="311">
        <f>IF(INDEX('NZS O&amp;G and CA100'!$D$5:$D$193, MATCH($A64, 'NZS O&amp;G and CA100'!$B$5:$B$193, 0)) =$B$4, INDEX('NZS O&amp;G and CA100'!$E$5:$N$193, MATCH($A64, 'NZS O&amp;G and CA100'!$B$5:$B$193, 0),MATCH(E$3, 'NZS O&amp;G and CA100'!$E$3:$N$3, 0)),"")</f>
        <v>0</v>
      </c>
      <c r="F64" s="311">
        <f>IF(INDEX('NZS O&amp;G and CA100'!$D$5:$D$193, MATCH($A64, 'NZS O&amp;G and CA100'!$B$5:$B$193, 0)) =$B$4, INDEX('NZS O&amp;G and CA100'!$E$5:$N$193, MATCH($A64, 'NZS O&amp;G and CA100'!$B$5:$B$193, 0),MATCH(F$3, 'NZS O&amp;G and CA100'!$E$3:$N$3, 0)),"")</f>
        <v>0</v>
      </c>
      <c r="G64" s="311">
        <f>IF(INDEX('NZS O&amp;G and CA100'!$D$5:$D$193, MATCH($A64, 'NZS O&amp;G and CA100'!$B$5:$B$193, 0)) =$B$4, INDEX('NZS O&amp;G and CA100'!$E$5:$N$193, MATCH($A64, 'NZS O&amp;G and CA100'!$B$5:$B$193, 0),MATCH(G$3, 'NZS O&amp;G and CA100'!$E$3:$N$3, 0)),"")</f>
        <v>0</v>
      </c>
      <c r="H64" s="311">
        <f>IF(INDEX('NZS O&amp;G and CA100'!$D$5:$D$193, MATCH($A64, 'NZS O&amp;G and CA100'!$B$5:$B$193, 0)) =$B$4, INDEX('NZS O&amp;G and CA100'!$E$5:$N$193, MATCH($A64, 'NZS O&amp;G and CA100'!$B$5:$B$193, 0),MATCH(H$3, 'NZS O&amp;G and CA100'!$E$3:$N$3, 0)),"")</f>
        <v>0</v>
      </c>
      <c r="I64" s="311">
        <f>IF(INDEX('NZS O&amp;G and CA100'!$D$5:$D$193, MATCH($A64, 'NZS O&amp;G and CA100'!$B$5:$B$193, 0)) =$B$4, INDEX('NZS O&amp;G and CA100'!$E$5:$N$193, MATCH($A64, 'NZS O&amp;G and CA100'!$B$5:$B$193, 0),MATCH(I$3, 'NZS O&amp;G and CA100'!$E$3:$N$3, 0)),"")</f>
        <v>0</v>
      </c>
      <c r="J64" s="311">
        <f>IF(INDEX('NZS O&amp;G and CA100'!$D$5:$D$193, MATCH($A64, 'NZS O&amp;G and CA100'!$B$5:$B$193, 0)) =$B$4, INDEX('NZS O&amp;G and CA100'!$E$5:$N$193, MATCH($A64, 'NZS O&amp;G and CA100'!$B$5:$B$193, 0),MATCH(J$3, 'NZS O&amp;G and CA100'!$E$3:$N$3, 0)),"")</f>
        <v>0</v>
      </c>
      <c r="K64" s="311">
        <f>IF(INDEX('NZS O&amp;G and CA100'!$D$5:$D$193, MATCH($A64, 'NZS O&amp;G and CA100'!$B$5:$B$193, 0)) =$B$4, INDEX('NZS O&amp;G and CA100'!$E$5:$N$193, MATCH($A64, 'NZS O&amp;G and CA100'!$B$5:$B$193, 0),MATCH(K$3, 'NZS O&amp;G and CA100'!$E$3:$N$3, 0)),"")</f>
        <v>0</v>
      </c>
      <c r="L64" s="311">
        <f>IF(INDEX('NZS O&amp;G and CA100'!$D$5:$D$193, MATCH($A64, 'NZS O&amp;G and CA100'!$B$5:$B$193, 0)) =$B$4, INDEX('NZS O&amp;G and CA100'!$E$5:$N$193, MATCH($A64, 'NZS O&amp;G and CA100'!$B$5:$B$193, 0),MATCH(L$3, 'NZS O&amp;G and CA100'!$E$3:$N$3, 0)),"")</f>
        <v>0</v>
      </c>
      <c r="M64" s="312">
        <f>IF(INDEX('NZS O&amp;G and CA100'!$D$5:$D$193, MATCH($A64, 'NZS O&amp;G and CA100'!$B$5:$B$193, 0)) =$B$4, INDEX('NZS O&amp;G and CA100'!$E$5:$N$193, MATCH($A64, 'NZS O&amp;G and CA100'!$B$5:$B$193, 0),MATCH(M$3, 'NZS O&amp;G and CA100'!$E$3:$N$3, 0)),"")</f>
        <v>1</v>
      </c>
      <c r="O64" s="55" t="str">
        <f>IF(INDEX('NZS O&amp;G and CA100'!$D$5:$D$193, MATCH($A64, 'NZS O&amp;G and CA100'!$B$5:$B$193, 0)) = "Alignment", INDEX('NZS O&amp;G and CA100'!$E$5:$N$193, MATCH($A64, 'NZS O&amp;G and CA100'!$B$5:$B$193, 0),MATCH(O$4, 'NZS O&amp;G and CA100'!$E$3:$N$3, 0)),"")</f>
        <v/>
      </c>
      <c r="P64" s="56" t="str">
        <f>IF(INDEX('NZS O&amp;G and CA100'!$D$5:$D$193, MATCH($A64, 'NZS O&amp;G and CA100'!$B$5:$B$193, 0)) = "Alignment", INDEX('NZS O&amp;G and CA100'!$E$5:$N$193, MATCH($A64, 'NZS O&amp;G and CA100'!$B$5:$B$193, 0),MATCH(P$4, 'NZS O&amp;G and CA100'!$E$3:$N$3, 0)),"")</f>
        <v/>
      </c>
      <c r="Q64" s="56" t="str">
        <f>IF(INDEX('NZS O&amp;G and CA100'!$D$5:$D$193, MATCH($A64, 'NZS O&amp;G and CA100'!$B$5:$B$193, 0)) = "Alignment", INDEX('NZS O&amp;G and CA100'!$E$5:$N$193, MATCH($A64, 'NZS O&amp;G and CA100'!$B$5:$B$193, 0),MATCH(Q$4, 'NZS O&amp;G and CA100'!$E$3:$N$3, 0)),"")</f>
        <v/>
      </c>
      <c r="R64" s="56" t="str">
        <f>IF(INDEX('NZS O&amp;G and CA100'!$D$5:$D$193, MATCH($A64, 'NZS O&amp;G and CA100'!$B$5:$B$193, 0)) = "Alignment", INDEX('NZS O&amp;G and CA100'!$E$5:$N$193, MATCH($A64, 'NZS O&amp;G and CA100'!$B$5:$B$193, 0),MATCH(R$4, 'NZS O&amp;G and CA100'!$E$3:$N$3, 0)),"")</f>
        <v/>
      </c>
      <c r="S64" s="56" t="str">
        <f>IF(INDEX('NZS O&amp;G and CA100'!$D$5:$D$193, MATCH($A64, 'NZS O&amp;G and CA100'!$B$5:$B$193, 0)) = "Alignment", INDEX('NZS O&amp;G and CA100'!$E$5:$N$193, MATCH($A64, 'NZS O&amp;G and CA100'!$B$5:$B$193, 0),MATCH(S$4, 'NZS O&amp;G and CA100'!$E$3:$N$3, 0)),"")</f>
        <v/>
      </c>
      <c r="T64" s="56" t="str">
        <f>IF(INDEX('NZS O&amp;G and CA100'!$D$5:$D$193, MATCH($A64, 'NZS O&amp;G and CA100'!$B$5:$B$193, 0)) = "Alignment", INDEX('NZS O&amp;G and CA100'!$E$5:$N$193, MATCH($A64, 'NZS O&amp;G and CA100'!$B$5:$B$193, 0),MATCH(T$4, 'NZS O&amp;G and CA100'!$E$3:$N$3, 0)),"")</f>
        <v/>
      </c>
      <c r="U64" s="56" t="str">
        <f>IF(INDEX('NZS O&amp;G and CA100'!$D$5:$D$193, MATCH($A64, 'NZS O&amp;G and CA100'!$B$5:$B$193, 0)) = "Alignment", INDEX('NZS O&amp;G and CA100'!$E$5:$N$193, MATCH($A64, 'NZS O&amp;G and CA100'!$B$5:$B$193, 0),MATCH(U$4, 'NZS O&amp;G and CA100'!$E$3:$N$3, 0)),"")</f>
        <v/>
      </c>
      <c r="V64" s="56" t="str">
        <f>IF(INDEX('NZS O&amp;G and CA100'!$D$5:$D$193, MATCH($A64, 'NZS O&amp;G and CA100'!$B$5:$B$193, 0)) = "Alignment", INDEX('NZS O&amp;G and CA100'!$E$5:$N$193, MATCH($A64, 'NZS O&amp;G and CA100'!$B$5:$B$193, 0),MATCH(V$4, 'NZS O&amp;G and CA100'!$E$3:$N$3, 0)),"")</f>
        <v/>
      </c>
      <c r="W64" s="56" t="str">
        <f>IF(INDEX('NZS O&amp;G and CA100'!$D$5:$D$193, MATCH($A64, 'NZS O&amp;G and CA100'!$B$5:$B$193, 0)) = "Alignment", INDEX('NZS O&amp;G and CA100'!$E$5:$N$193, MATCH($A64, 'NZS O&amp;G and CA100'!$B$5:$B$193, 0),MATCH(L$3, 'NZS O&amp;G and CA100'!$E$3:$N$3, 0)),"")</f>
        <v/>
      </c>
      <c r="X64" s="57" t="str">
        <f>IF(INDEX('NZS O&amp;G and CA100'!$D$5:$D$193, MATCH($A64, 'NZS O&amp;G and CA100'!$B$5:$B$193, 0)) = "Alignment", INDEX('NZS O&amp;G and CA100'!$E$5:$N$193, MATCH($A64, 'NZS O&amp;G and CA100'!$B$5:$B$193, 0),MATCH(M$3, 'NZS O&amp;G and CA100'!$E$3:$N$3, 0)),"")</f>
        <v/>
      </c>
      <c r="Z64" s="55"/>
      <c r="AA64" s="56"/>
      <c r="AB64" s="56"/>
      <c r="AC64" s="56"/>
      <c r="AD64" s="56"/>
      <c r="AE64" s="56"/>
      <c r="AF64" s="56"/>
      <c r="AG64" s="56"/>
      <c r="AH64" s="56"/>
      <c r="AI64" s="57"/>
      <c r="AK64" s="49"/>
      <c r="AL64" s="49"/>
      <c r="AM64" s="49"/>
      <c r="AN64" s="49"/>
      <c r="AO64" s="49"/>
    </row>
    <row r="65" spans="1:108" s="1" customFormat="1" ht="20.149999999999999" customHeight="1" outlineLevel="2">
      <c r="A65" s="302" t="s">
        <v>306</v>
      </c>
      <c r="B65" s="235" t="s">
        <v>117</v>
      </c>
      <c r="C65" s="236" t="str">
        <f>VLOOKUP(A65, 'NZS O&amp;G and CA100'!$B$7:$D$194, 3, FALSE)</f>
        <v>Disclosure</v>
      </c>
      <c r="D65" s="310">
        <f>IF(INDEX('NZS O&amp;G and CA100'!$D$5:$D$193, MATCH($A65, 'NZS O&amp;G and CA100'!$B$5:$B$193, 0)) =$B$4, INDEX('NZS O&amp;G and CA100'!$E$5:$N$193, MATCH($A65, 'NZS O&amp;G and CA100'!$B$5:$B$193, 0),MATCH(D$3, 'NZS O&amp;G and CA100'!$E$3:$N$3, 0)),"")</f>
        <v>0</v>
      </c>
      <c r="E65" s="311">
        <f>IF(INDEX('NZS O&amp;G and CA100'!$D$5:$D$193, MATCH($A65, 'NZS O&amp;G and CA100'!$B$5:$B$193, 0)) =$B$4, INDEX('NZS O&amp;G and CA100'!$E$5:$N$193, MATCH($A65, 'NZS O&amp;G and CA100'!$B$5:$B$193, 0),MATCH(E$3, 'NZS O&amp;G and CA100'!$E$3:$N$3, 0)),"")</f>
        <v>0</v>
      </c>
      <c r="F65" s="311">
        <f>IF(INDEX('NZS O&amp;G and CA100'!$D$5:$D$193, MATCH($A65, 'NZS O&amp;G and CA100'!$B$5:$B$193, 0)) =$B$4, INDEX('NZS O&amp;G and CA100'!$E$5:$N$193, MATCH($A65, 'NZS O&amp;G and CA100'!$B$5:$B$193, 0),MATCH(F$3, 'NZS O&amp;G and CA100'!$E$3:$N$3, 0)),"")</f>
        <v>0</v>
      </c>
      <c r="G65" s="311">
        <f>IF(INDEX('NZS O&amp;G and CA100'!$D$5:$D$193, MATCH($A65, 'NZS O&amp;G and CA100'!$B$5:$B$193, 0)) =$B$4, INDEX('NZS O&amp;G and CA100'!$E$5:$N$193, MATCH($A65, 'NZS O&amp;G and CA100'!$B$5:$B$193, 0),MATCH(G$3, 'NZS O&amp;G and CA100'!$E$3:$N$3, 0)),"")</f>
        <v>0</v>
      </c>
      <c r="H65" s="311">
        <f>IF(INDEX('NZS O&amp;G and CA100'!$D$5:$D$193, MATCH($A65, 'NZS O&amp;G and CA100'!$B$5:$B$193, 0)) =$B$4, INDEX('NZS O&amp;G and CA100'!$E$5:$N$193, MATCH($A65, 'NZS O&amp;G and CA100'!$B$5:$B$193, 0),MATCH(H$3, 'NZS O&amp;G and CA100'!$E$3:$N$3, 0)),"")</f>
        <v>0</v>
      </c>
      <c r="I65" s="311">
        <f>IF(INDEX('NZS O&amp;G and CA100'!$D$5:$D$193, MATCH($A65, 'NZS O&amp;G and CA100'!$B$5:$B$193, 0)) =$B$4, INDEX('NZS O&amp;G and CA100'!$E$5:$N$193, MATCH($A65, 'NZS O&amp;G and CA100'!$B$5:$B$193, 0),MATCH(I$3, 'NZS O&amp;G and CA100'!$E$3:$N$3, 0)),"")</f>
        <v>1</v>
      </c>
      <c r="J65" s="311">
        <f>IF(INDEX('NZS O&amp;G and CA100'!$D$5:$D$193, MATCH($A65, 'NZS O&amp;G and CA100'!$B$5:$B$193, 0)) =$B$4, INDEX('NZS O&amp;G and CA100'!$E$5:$N$193, MATCH($A65, 'NZS O&amp;G and CA100'!$B$5:$B$193, 0),MATCH(J$3, 'NZS O&amp;G and CA100'!$E$3:$N$3, 0)),"")</f>
        <v>0</v>
      </c>
      <c r="K65" s="311">
        <f>IF(INDEX('NZS O&amp;G and CA100'!$D$5:$D$193, MATCH($A65, 'NZS O&amp;G and CA100'!$B$5:$B$193, 0)) =$B$4, INDEX('NZS O&amp;G and CA100'!$E$5:$N$193, MATCH($A65, 'NZS O&amp;G and CA100'!$B$5:$B$193, 0),MATCH(K$3, 'NZS O&amp;G and CA100'!$E$3:$N$3, 0)),"")</f>
        <v>0</v>
      </c>
      <c r="L65" s="311">
        <f>IF(INDEX('NZS O&amp;G and CA100'!$D$5:$D$193, MATCH($A65, 'NZS O&amp;G and CA100'!$B$5:$B$193, 0)) =$B$4, INDEX('NZS O&amp;G and CA100'!$E$5:$N$193, MATCH($A65, 'NZS O&amp;G and CA100'!$B$5:$B$193, 0),MATCH(L$3, 'NZS O&amp;G and CA100'!$E$3:$N$3, 0)),"")</f>
        <v>0</v>
      </c>
      <c r="M65" s="312">
        <f>IF(INDEX('NZS O&amp;G and CA100'!$D$5:$D$193, MATCH($A65, 'NZS O&amp;G and CA100'!$B$5:$B$193, 0)) =$B$4, INDEX('NZS O&amp;G and CA100'!$E$5:$N$193, MATCH($A65, 'NZS O&amp;G and CA100'!$B$5:$B$193, 0),MATCH(M$3, 'NZS O&amp;G and CA100'!$E$3:$N$3, 0)),"")</f>
        <v>0</v>
      </c>
      <c r="O65" s="55" t="str">
        <f>IF(INDEX('NZS O&amp;G and CA100'!$D$5:$D$193, MATCH($A65, 'NZS O&amp;G and CA100'!$B$5:$B$193, 0)) = "Alignment", INDEX('NZS O&amp;G and CA100'!$E$5:$N$193, MATCH($A65, 'NZS O&amp;G and CA100'!$B$5:$B$193, 0),MATCH(O$4, 'NZS O&amp;G and CA100'!$E$3:$N$3, 0)),"")</f>
        <v/>
      </c>
      <c r="P65" s="56" t="str">
        <f>IF(INDEX('NZS O&amp;G and CA100'!$D$5:$D$193, MATCH($A65, 'NZS O&amp;G and CA100'!$B$5:$B$193, 0)) = "Alignment", INDEX('NZS O&amp;G and CA100'!$E$5:$N$193, MATCH($A65, 'NZS O&amp;G and CA100'!$B$5:$B$193, 0),MATCH(P$4, 'NZS O&amp;G and CA100'!$E$3:$N$3, 0)),"")</f>
        <v/>
      </c>
      <c r="Q65" s="56" t="str">
        <f>IF(INDEX('NZS O&amp;G and CA100'!$D$5:$D$193, MATCH($A65, 'NZS O&amp;G and CA100'!$B$5:$B$193, 0)) = "Alignment", INDEX('NZS O&amp;G and CA100'!$E$5:$N$193, MATCH($A65, 'NZS O&amp;G and CA100'!$B$5:$B$193, 0),MATCH(Q$4, 'NZS O&amp;G and CA100'!$E$3:$N$3, 0)),"")</f>
        <v/>
      </c>
      <c r="R65" s="56" t="str">
        <f>IF(INDEX('NZS O&amp;G and CA100'!$D$5:$D$193, MATCH($A65, 'NZS O&amp;G and CA100'!$B$5:$B$193, 0)) = "Alignment", INDEX('NZS O&amp;G and CA100'!$E$5:$N$193, MATCH($A65, 'NZS O&amp;G and CA100'!$B$5:$B$193, 0),MATCH(R$4, 'NZS O&amp;G and CA100'!$E$3:$N$3, 0)),"")</f>
        <v/>
      </c>
      <c r="S65" s="56" t="str">
        <f>IF(INDEX('NZS O&amp;G and CA100'!$D$5:$D$193, MATCH($A65, 'NZS O&amp;G and CA100'!$B$5:$B$193, 0)) = "Alignment", INDEX('NZS O&amp;G and CA100'!$E$5:$N$193, MATCH($A65, 'NZS O&amp;G and CA100'!$B$5:$B$193, 0),MATCH(S$4, 'NZS O&amp;G and CA100'!$E$3:$N$3, 0)),"")</f>
        <v/>
      </c>
      <c r="T65" s="56" t="str">
        <f>IF(INDEX('NZS O&amp;G and CA100'!$D$5:$D$193, MATCH($A65, 'NZS O&amp;G and CA100'!$B$5:$B$193, 0)) = "Alignment", INDEX('NZS O&amp;G and CA100'!$E$5:$N$193, MATCH($A65, 'NZS O&amp;G and CA100'!$B$5:$B$193, 0),MATCH(T$4, 'NZS O&amp;G and CA100'!$E$3:$N$3, 0)),"")</f>
        <v/>
      </c>
      <c r="U65" s="56" t="str">
        <f>IF(INDEX('NZS O&amp;G and CA100'!$D$5:$D$193, MATCH($A65, 'NZS O&amp;G and CA100'!$B$5:$B$193, 0)) = "Alignment", INDEX('NZS O&amp;G and CA100'!$E$5:$N$193, MATCH($A65, 'NZS O&amp;G and CA100'!$B$5:$B$193, 0),MATCH(U$4, 'NZS O&amp;G and CA100'!$E$3:$N$3, 0)),"")</f>
        <v/>
      </c>
      <c r="V65" s="56" t="str">
        <f>IF(INDEX('NZS O&amp;G and CA100'!$D$5:$D$193, MATCH($A65, 'NZS O&amp;G and CA100'!$B$5:$B$193, 0)) = "Alignment", INDEX('NZS O&amp;G and CA100'!$E$5:$N$193, MATCH($A65, 'NZS O&amp;G and CA100'!$B$5:$B$193, 0),MATCH(V$4, 'NZS O&amp;G and CA100'!$E$3:$N$3, 0)),"")</f>
        <v/>
      </c>
      <c r="W65" s="56" t="str">
        <f>IF(INDEX('NZS O&amp;G and CA100'!$D$5:$D$193, MATCH($A65, 'NZS O&amp;G and CA100'!$B$5:$B$193, 0)) = "Alignment", INDEX('NZS O&amp;G and CA100'!$E$5:$N$193, MATCH($A65, 'NZS O&amp;G and CA100'!$B$5:$B$193, 0),MATCH(L$3, 'NZS O&amp;G and CA100'!$E$3:$N$3, 0)),"")</f>
        <v/>
      </c>
      <c r="X65" s="57" t="str">
        <f>IF(INDEX('NZS O&amp;G and CA100'!$D$5:$D$193, MATCH($A65, 'NZS O&amp;G and CA100'!$B$5:$B$193, 0)) = "Alignment", INDEX('NZS O&amp;G and CA100'!$E$5:$N$193, MATCH($A65, 'NZS O&amp;G and CA100'!$B$5:$B$193, 0),MATCH(M$3, 'NZS O&amp;G and CA100'!$E$3:$N$3, 0)),"")</f>
        <v/>
      </c>
      <c r="Z65" s="55"/>
      <c r="AA65" s="56"/>
      <c r="AB65" s="56"/>
      <c r="AC65" s="56"/>
      <c r="AD65" s="56"/>
      <c r="AE65" s="56"/>
      <c r="AF65" s="56"/>
      <c r="AG65" s="56"/>
      <c r="AH65" s="56"/>
      <c r="AI65" s="57"/>
      <c r="AK65" s="49"/>
      <c r="AL65" s="49"/>
      <c r="AM65" s="49"/>
      <c r="AN65" s="49"/>
      <c r="AO65" s="49"/>
    </row>
    <row r="66" spans="1:108" s="1" customFormat="1" ht="20.149999999999999" customHeight="1" outlineLevel="2">
      <c r="A66" s="302" t="s">
        <v>307</v>
      </c>
      <c r="B66" s="235" t="s">
        <v>118</v>
      </c>
      <c r="C66" s="236" t="str">
        <f>VLOOKUP(A66, 'NZS O&amp;G and CA100'!$B$7:$D$194, 3, FALSE)</f>
        <v>Disclosure</v>
      </c>
      <c r="D66" s="310">
        <f>IF(INDEX('NZS O&amp;G and CA100'!$D$5:$D$193, MATCH($A66, 'NZS O&amp;G and CA100'!$B$5:$B$193, 0)) =$B$4, INDEX('NZS O&amp;G and CA100'!$E$5:$N$193, MATCH($A66, 'NZS O&amp;G and CA100'!$B$5:$B$193, 0),MATCH(D$3, 'NZS O&amp;G and CA100'!$E$3:$N$3, 0)),"")</f>
        <v>1</v>
      </c>
      <c r="E66" s="311">
        <f>IF(INDEX('NZS O&amp;G and CA100'!$D$5:$D$193, MATCH($A66, 'NZS O&amp;G and CA100'!$B$5:$B$193, 0)) =$B$4, INDEX('NZS O&amp;G and CA100'!$E$5:$N$193, MATCH($A66, 'NZS O&amp;G and CA100'!$B$5:$B$193, 0),MATCH(E$3, 'NZS O&amp;G and CA100'!$E$3:$N$3, 0)),"")</f>
        <v>0</v>
      </c>
      <c r="F66" s="311">
        <f>IF(INDEX('NZS O&amp;G and CA100'!$D$5:$D$193, MATCH($A66, 'NZS O&amp;G and CA100'!$B$5:$B$193, 0)) =$B$4, INDEX('NZS O&amp;G and CA100'!$E$5:$N$193, MATCH($A66, 'NZS O&amp;G and CA100'!$B$5:$B$193, 0),MATCH(F$3, 'NZS O&amp;G and CA100'!$E$3:$N$3, 0)),"")</f>
        <v>0</v>
      </c>
      <c r="G66" s="311">
        <f>IF(INDEX('NZS O&amp;G and CA100'!$D$5:$D$193, MATCH($A66, 'NZS O&amp;G and CA100'!$B$5:$B$193, 0)) =$B$4, INDEX('NZS O&amp;G and CA100'!$E$5:$N$193, MATCH($A66, 'NZS O&amp;G and CA100'!$B$5:$B$193, 0),MATCH(G$3, 'NZS O&amp;G and CA100'!$E$3:$N$3, 0)),"")</f>
        <v>1</v>
      </c>
      <c r="H66" s="311">
        <f>IF(INDEX('NZS O&amp;G and CA100'!$D$5:$D$193, MATCH($A66, 'NZS O&amp;G and CA100'!$B$5:$B$193, 0)) =$B$4, INDEX('NZS O&amp;G and CA100'!$E$5:$N$193, MATCH($A66, 'NZS O&amp;G and CA100'!$B$5:$B$193, 0),MATCH(H$3, 'NZS O&amp;G and CA100'!$E$3:$N$3, 0)),"")</f>
        <v>0</v>
      </c>
      <c r="I66" s="311">
        <f>IF(INDEX('NZS O&amp;G and CA100'!$D$5:$D$193, MATCH($A66, 'NZS O&amp;G and CA100'!$B$5:$B$193, 0)) =$B$4, INDEX('NZS O&amp;G and CA100'!$E$5:$N$193, MATCH($A66, 'NZS O&amp;G and CA100'!$B$5:$B$193, 0),MATCH(I$3, 'NZS O&amp;G and CA100'!$E$3:$N$3, 0)),"")</f>
        <v>0</v>
      </c>
      <c r="J66" s="311">
        <f>IF(INDEX('NZS O&amp;G and CA100'!$D$5:$D$193, MATCH($A66, 'NZS O&amp;G and CA100'!$B$5:$B$193, 0)) =$B$4, INDEX('NZS O&amp;G and CA100'!$E$5:$N$193, MATCH($A66, 'NZS O&amp;G and CA100'!$B$5:$B$193, 0),MATCH(J$3, 'NZS O&amp;G and CA100'!$E$3:$N$3, 0)),"")</f>
        <v>1</v>
      </c>
      <c r="K66" s="311">
        <f>IF(INDEX('NZS O&amp;G and CA100'!$D$5:$D$193, MATCH($A66, 'NZS O&amp;G and CA100'!$B$5:$B$193, 0)) =$B$4, INDEX('NZS O&amp;G and CA100'!$E$5:$N$193, MATCH($A66, 'NZS O&amp;G and CA100'!$B$5:$B$193, 0),MATCH(K$3, 'NZS O&amp;G and CA100'!$E$3:$N$3, 0)),"")</f>
        <v>0</v>
      </c>
      <c r="L66" s="311">
        <f>IF(INDEX('NZS O&amp;G and CA100'!$D$5:$D$193, MATCH($A66, 'NZS O&amp;G and CA100'!$B$5:$B$193, 0)) =$B$4, INDEX('NZS O&amp;G and CA100'!$E$5:$N$193, MATCH($A66, 'NZS O&amp;G and CA100'!$B$5:$B$193, 0),MATCH(L$3, 'NZS O&amp;G and CA100'!$E$3:$N$3, 0)),"")</f>
        <v>0</v>
      </c>
      <c r="M66" s="312">
        <f>IF(INDEX('NZS O&amp;G and CA100'!$D$5:$D$193, MATCH($A66, 'NZS O&amp;G and CA100'!$B$5:$B$193, 0)) =$B$4, INDEX('NZS O&amp;G and CA100'!$E$5:$N$193, MATCH($A66, 'NZS O&amp;G and CA100'!$B$5:$B$193, 0),MATCH(M$3, 'NZS O&amp;G and CA100'!$E$3:$N$3, 0)),"")</f>
        <v>1</v>
      </c>
      <c r="O66" s="55" t="str">
        <f>IF(INDEX('NZS O&amp;G and CA100'!$D$5:$D$193, MATCH($A66, 'NZS O&amp;G and CA100'!$B$5:$B$193, 0)) = "Alignment", INDEX('NZS O&amp;G and CA100'!$E$5:$N$193, MATCH($A66, 'NZS O&amp;G and CA100'!$B$5:$B$193, 0),MATCH(O$4, 'NZS O&amp;G and CA100'!$E$3:$N$3, 0)),"")</f>
        <v/>
      </c>
      <c r="P66" s="56" t="str">
        <f>IF(INDEX('NZS O&amp;G and CA100'!$D$5:$D$193, MATCH($A66, 'NZS O&amp;G and CA100'!$B$5:$B$193, 0)) = "Alignment", INDEX('NZS O&amp;G and CA100'!$E$5:$N$193, MATCH($A66, 'NZS O&amp;G and CA100'!$B$5:$B$193, 0),MATCH(P$4, 'NZS O&amp;G and CA100'!$E$3:$N$3, 0)),"")</f>
        <v/>
      </c>
      <c r="Q66" s="56" t="str">
        <f>IF(INDEX('NZS O&amp;G and CA100'!$D$5:$D$193, MATCH($A66, 'NZS O&amp;G and CA100'!$B$5:$B$193, 0)) = "Alignment", INDEX('NZS O&amp;G and CA100'!$E$5:$N$193, MATCH($A66, 'NZS O&amp;G and CA100'!$B$5:$B$193, 0),MATCH(Q$4, 'NZS O&amp;G and CA100'!$E$3:$N$3, 0)),"")</f>
        <v/>
      </c>
      <c r="R66" s="56" t="str">
        <f>IF(INDEX('NZS O&amp;G and CA100'!$D$5:$D$193, MATCH($A66, 'NZS O&amp;G and CA100'!$B$5:$B$193, 0)) = "Alignment", INDEX('NZS O&amp;G and CA100'!$E$5:$N$193, MATCH($A66, 'NZS O&amp;G and CA100'!$B$5:$B$193, 0),MATCH(R$4, 'NZS O&amp;G and CA100'!$E$3:$N$3, 0)),"")</f>
        <v/>
      </c>
      <c r="S66" s="56" t="str">
        <f>IF(INDEX('NZS O&amp;G and CA100'!$D$5:$D$193, MATCH($A66, 'NZS O&amp;G and CA100'!$B$5:$B$193, 0)) = "Alignment", INDEX('NZS O&amp;G and CA100'!$E$5:$N$193, MATCH($A66, 'NZS O&amp;G and CA100'!$B$5:$B$193, 0),MATCH(S$4, 'NZS O&amp;G and CA100'!$E$3:$N$3, 0)),"")</f>
        <v/>
      </c>
      <c r="T66" s="56" t="str">
        <f>IF(INDEX('NZS O&amp;G and CA100'!$D$5:$D$193, MATCH($A66, 'NZS O&amp;G and CA100'!$B$5:$B$193, 0)) = "Alignment", INDEX('NZS O&amp;G and CA100'!$E$5:$N$193, MATCH($A66, 'NZS O&amp;G and CA100'!$B$5:$B$193, 0),MATCH(T$4, 'NZS O&amp;G and CA100'!$E$3:$N$3, 0)),"")</f>
        <v/>
      </c>
      <c r="U66" s="56" t="str">
        <f>IF(INDEX('NZS O&amp;G and CA100'!$D$5:$D$193, MATCH($A66, 'NZS O&amp;G and CA100'!$B$5:$B$193, 0)) = "Alignment", INDEX('NZS O&amp;G and CA100'!$E$5:$N$193, MATCH($A66, 'NZS O&amp;G and CA100'!$B$5:$B$193, 0),MATCH(U$4, 'NZS O&amp;G and CA100'!$E$3:$N$3, 0)),"")</f>
        <v/>
      </c>
      <c r="V66" s="56" t="str">
        <f>IF(INDEX('NZS O&amp;G and CA100'!$D$5:$D$193, MATCH($A66, 'NZS O&amp;G and CA100'!$B$5:$B$193, 0)) = "Alignment", INDEX('NZS O&amp;G and CA100'!$E$5:$N$193, MATCH($A66, 'NZS O&amp;G and CA100'!$B$5:$B$193, 0),MATCH(V$4, 'NZS O&amp;G and CA100'!$E$3:$N$3, 0)),"")</f>
        <v/>
      </c>
      <c r="W66" s="56" t="str">
        <f>IF(INDEX('NZS O&amp;G and CA100'!$D$5:$D$193, MATCH($A66, 'NZS O&amp;G and CA100'!$B$5:$B$193, 0)) = "Alignment", INDEX('NZS O&amp;G and CA100'!$E$5:$N$193, MATCH($A66, 'NZS O&amp;G and CA100'!$B$5:$B$193, 0),MATCH(L$3, 'NZS O&amp;G and CA100'!$E$3:$N$3, 0)),"")</f>
        <v/>
      </c>
      <c r="X66" s="57" t="str">
        <f>IF(INDEX('NZS O&amp;G and CA100'!$D$5:$D$193, MATCH($A66, 'NZS O&amp;G and CA100'!$B$5:$B$193, 0)) = "Alignment", INDEX('NZS O&amp;G and CA100'!$E$5:$N$193, MATCH($A66, 'NZS O&amp;G and CA100'!$B$5:$B$193, 0),MATCH(M$3, 'NZS O&amp;G and CA100'!$E$3:$N$3, 0)),"")</f>
        <v/>
      </c>
      <c r="Z66" s="55"/>
      <c r="AA66" s="56"/>
      <c r="AB66" s="56"/>
      <c r="AC66" s="56"/>
      <c r="AD66" s="56"/>
      <c r="AE66" s="56"/>
      <c r="AF66" s="56"/>
      <c r="AG66" s="56"/>
      <c r="AH66" s="56"/>
      <c r="AI66" s="57"/>
      <c r="AK66" s="49"/>
      <c r="AL66" s="49"/>
      <c r="AM66" s="49"/>
      <c r="AN66" s="49"/>
      <c r="AO66" s="49"/>
    </row>
    <row r="67" spans="1:108" s="1" customFormat="1" ht="20.149999999999999" customHeight="1" outlineLevel="2">
      <c r="A67" s="302" t="s">
        <v>308</v>
      </c>
      <c r="B67" s="235" t="s">
        <v>309</v>
      </c>
      <c r="C67" s="236" t="str">
        <f>VLOOKUP(A67, 'NZS O&amp;G and CA100'!$B$7:$D$194, 3, FALSE)</f>
        <v>Disclosure</v>
      </c>
      <c r="D67" s="310" t="str">
        <f>IF(INDEX('NZS O&amp;G and CA100'!$D$5:$D$193, MATCH($A67, 'NZS O&amp;G and CA100'!$B$5:$B$193, 0)) =$B$4, INDEX('NZS O&amp;G and CA100'!$E$5:$N$193, MATCH($A67, 'NZS O&amp;G and CA100'!$B$5:$B$193, 0),MATCH(D$3, 'NZS O&amp;G and CA100'!$E$3:$N$3, 0)),"")</f>
        <v>Not Applicable</v>
      </c>
      <c r="E67" s="311" t="str">
        <f>IF(INDEX('NZS O&amp;G and CA100'!$D$5:$D$193, MATCH($A67, 'NZS O&amp;G and CA100'!$B$5:$B$193, 0)) =$B$4, INDEX('NZS O&amp;G and CA100'!$E$5:$N$193, MATCH($A67, 'NZS O&amp;G and CA100'!$B$5:$B$193, 0),MATCH(E$3, 'NZS O&amp;G and CA100'!$E$3:$N$3, 0)),"")</f>
        <v>Not Applicable</v>
      </c>
      <c r="F67" s="311" t="str">
        <f>IF(INDEX('NZS O&amp;G and CA100'!$D$5:$D$193, MATCH($A67, 'NZS O&amp;G and CA100'!$B$5:$B$193, 0)) =$B$4, INDEX('NZS O&amp;G and CA100'!$E$5:$N$193, MATCH($A67, 'NZS O&amp;G and CA100'!$B$5:$B$193, 0),MATCH(F$3, 'NZS O&amp;G and CA100'!$E$3:$N$3, 0)),"")</f>
        <v>Not Applicable</v>
      </c>
      <c r="G67" s="311" t="str">
        <f>IF(INDEX('NZS O&amp;G and CA100'!$D$5:$D$193, MATCH($A67, 'NZS O&amp;G and CA100'!$B$5:$B$193, 0)) =$B$4, INDEX('NZS O&amp;G and CA100'!$E$5:$N$193, MATCH($A67, 'NZS O&amp;G and CA100'!$B$5:$B$193, 0),MATCH(G$3, 'NZS O&amp;G and CA100'!$E$3:$N$3, 0)),"")</f>
        <v>Not Applicable</v>
      </c>
      <c r="H67" s="311">
        <f>IF(INDEX('NZS O&amp;G and CA100'!$D$5:$D$193, MATCH($A67, 'NZS O&amp;G and CA100'!$B$5:$B$193, 0)) =$B$4, INDEX('NZS O&amp;G and CA100'!$E$5:$N$193, MATCH($A67, 'NZS O&amp;G and CA100'!$B$5:$B$193, 0),MATCH(H$3, 'NZS O&amp;G and CA100'!$E$3:$N$3, 0)),"")</f>
        <v>0</v>
      </c>
      <c r="I67" s="311">
        <f>IF(INDEX('NZS O&amp;G and CA100'!$D$5:$D$193, MATCH($A67, 'NZS O&amp;G and CA100'!$B$5:$B$193, 0)) =$B$4, INDEX('NZS O&amp;G and CA100'!$E$5:$N$193, MATCH($A67, 'NZS O&amp;G and CA100'!$B$5:$B$193, 0),MATCH(I$3, 'NZS O&amp;G and CA100'!$E$3:$N$3, 0)),"")</f>
        <v>0</v>
      </c>
      <c r="J67" s="311">
        <f>IF(INDEX('NZS O&amp;G and CA100'!$D$5:$D$193, MATCH($A67, 'NZS O&amp;G and CA100'!$B$5:$B$193, 0)) =$B$4, INDEX('NZS O&amp;G and CA100'!$E$5:$N$193, MATCH($A67, 'NZS O&amp;G and CA100'!$B$5:$B$193, 0),MATCH(J$3, 'NZS O&amp;G and CA100'!$E$3:$N$3, 0)),"")</f>
        <v>1</v>
      </c>
      <c r="K67" s="311" t="str">
        <f>IF(INDEX('NZS O&amp;G and CA100'!$D$5:$D$193, MATCH($A67, 'NZS O&amp;G and CA100'!$B$5:$B$193, 0)) =$B$4, INDEX('NZS O&amp;G and CA100'!$E$5:$N$193, MATCH($A67, 'NZS O&amp;G and CA100'!$B$5:$B$193, 0),MATCH(K$3, 'NZS O&amp;G and CA100'!$E$3:$N$3, 0)),"")</f>
        <v>Not Applicable</v>
      </c>
      <c r="L67" s="311" t="str">
        <f>IF(INDEX('NZS O&amp;G and CA100'!$D$5:$D$193, MATCH($A67, 'NZS O&amp;G and CA100'!$B$5:$B$193, 0)) =$B$4, INDEX('NZS O&amp;G and CA100'!$E$5:$N$193, MATCH($A67, 'NZS O&amp;G and CA100'!$B$5:$B$193, 0),MATCH(L$3, 'NZS O&amp;G and CA100'!$E$3:$N$3, 0)),"")</f>
        <v>Not Applicable</v>
      </c>
      <c r="M67" s="312" t="str">
        <f>IF(INDEX('NZS O&amp;G and CA100'!$D$5:$D$193, MATCH($A67, 'NZS O&amp;G and CA100'!$B$5:$B$193, 0)) =$B$4, INDEX('NZS O&amp;G and CA100'!$E$5:$N$193, MATCH($A67, 'NZS O&amp;G and CA100'!$B$5:$B$193, 0),MATCH(M$3, 'NZS O&amp;G and CA100'!$E$3:$N$3, 0)),"")</f>
        <v>Not Applicable</v>
      </c>
      <c r="O67" s="55" t="str">
        <f>IF(INDEX('NZS O&amp;G and CA100'!$D$5:$D$193, MATCH($A67, 'NZS O&amp;G and CA100'!$B$5:$B$193, 0)) = "Alignment", INDEX('NZS O&amp;G and CA100'!$E$5:$N$193, MATCH($A67, 'NZS O&amp;G and CA100'!$B$5:$B$193, 0),MATCH(O$4, 'NZS O&amp;G and CA100'!$E$3:$N$3, 0)),"")</f>
        <v/>
      </c>
      <c r="P67" s="56" t="str">
        <f>IF(INDEX('NZS O&amp;G and CA100'!$D$5:$D$193, MATCH($A67, 'NZS O&amp;G and CA100'!$B$5:$B$193, 0)) = "Alignment", INDEX('NZS O&amp;G and CA100'!$E$5:$N$193, MATCH($A67, 'NZS O&amp;G and CA100'!$B$5:$B$193, 0),MATCH(P$4, 'NZS O&amp;G and CA100'!$E$3:$N$3, 0)),"")</f>
        <v/>
      </c>
      <c r="Q67" s="56" t="str">
        <f>IF(INDEX('NZS O&amp;G and CA100'!$D$5:$D$193, MATCH($A67, 'NZS O&amp;G and CA100'!$B$5:$B$193, 0)) = "Alignment", INDEX('NZS O&amp;G and CA100'!$E$5:$N$193, MATCH($A67, 'NZS O&amp;G and CA100'!$B$5:$B$193, 0),MATCH(Q$4, 'NZS O&amp;G and CA100'!$E$3:$N$3, 0)),"")</f>
        <v/>
      </c>
      <c r="R67" s="56" t="str">
        <f>IF(INDEX('NZS O&amp;G and CA100'!$D$5:$D$193, MATCH($A67, 'NZS O&amp;G and CA100'!$B$5:$B$193, 0)) = "Alignment", INDEX('NZS O&amp;G and CA100'!$E$5:$N$193, MATCH($A67, 'NZS O&amp;G and CA100'!$B$5:$B$193, 0),MATCH(R$4, 'NZS O&amp;G and CA100'!$E$3:$N$3, 0)),"")</f>
        <v/>
      </c>
      <c r="S67" s="56" t="str">
        <f>IF(INDEX('NZS O&amp;G and CA100'!$D$5:$D$193, MATCH($A67, 'NZS O&amp;G and CA100'!$B$5:$B$193, 0)) = "Alignment", INDEX('NZS O&amp;G and CA100'!$E$5:$N$193, MATCH($A67, 'NZS O&amp;G and CA100'!$B$5:$B$193, 0),MATCH(S$4, 'NZS O&amp;G and CA100'!$E$3:$N$3, 0)),"")</f>
        <v/>
      </c>
      <c r="T67" s="56" t="str">
        <f>IF(INDEX('NZS O&amp;G and CA100'!$D$5:$D$193, MATCH($A67, 'NZS O&amp;G and CA100'!$B$5:$B$193, 0)) = "Alignment", INDEX('NZS O&amp;G and CA100'!$E$5:$N$193, MATCH($A67, 'NZS O&amp;G and CA100'!$B$5:$B$193, 0),MATCH(T$4, 'NZS O&amp;G and CA100'!$E$3:$N$3, 0)),"")</f>
        <v/>
      </c>
      <c r="U67" s="56" t="str">
        <f>IF(INDEX('NZS O&amp;G and CA100'!$D$5:$D$193, MATCH($A67, 'NZS O&amp;G and CA100'!$B$5:$B$193, 0)) = "Alignment", INDEX('NZS O&amp;G and CA100'!$E$5:$N$193, MATCH($A67, 'NZS O&amp;G and CA100'!$B$5:$B$193, 0),MATCH(U$4, 'NZS O&amp;G and CA100'!$E$3:$N$3, 0)),"")</f>
        <v/>
      </c>
      <c r="V67" s="56" t="str">
        <f>IF(INDEX('NZS O&amp;G and CA100'!$D$5:$D$193, MATCH($A67, 'NZS O&amp;G and CA100'!$B$5:$B$193, 0)) = "Alignment", INDEX('NZS O&amp;G and CA100'!$E$5:$N$193, MATCH($A67, 'NZS O&amp;G and CA100'!$B$5:$B$193, 0),MATCH(V$4, 'NZS O&amp;G and CA100'!$E$3:$N$3, 0)),"")</f>
        <v/>
      </c>
      <c r="W67" s="56" t="str">
        <f>IF(INDEX('NZS O&amp;G and CA100'!$D$5:$D$193, MATCH($A67, 'NZS O&amp;G and CA100'!$B$5:$B$193, 0)) = "Alignment", INDEX('NZS O&amp;G and CA100'!$E$5:$N$193, MATCH($A67, 'NZS O&amp;G and CA100'!$B$5:$B$193, 0),MATCH(L$3, 'NZS O&amp;G and CA100'!$E$3:$N$3, 0)),"")</f>
        <v/>
      </c>
      <c r="X67" s="57" t="str">
        <f>IF(INDEX('NZS O&amp;G and CA100'!$D$5:$D$193, MATCH($A67, 'NZS O&amp;G and CA100'!$B$5:$B$193, 0)) = "Alignment", INDEX('NZS O&amp;G and CA100'!$E$5:$N$193, MATCH($A67, 'NZS O&amp;G and CA100'!$B$5:$B$193, 0),MATCH(M$3, 'NZS O&amp;G and CA100'!$E$3:$N$3, 0)),"")</f>
        <v/>
      </c>
      <c r="Z67" s="55"/>
      <c r="AA67" s="56"/>
      <c r="AB67" s="56"/>
      <c r="AC67" s="56"/>
      <c r="AD67" s="56"/>
      <c r="AE67" s="56"/>
      <c r="AF67" s="56"/>
      <c r="AG67" s="56"/>
      <c r="AH67" s="56"/>
      <c r="AI67" s="57"/>
      <c r="AK67" s="49"/>
      <c r="AL67" s="49"/>
      <c r="AM67" s="49"/>
      <c r="AN67" s="49"/>
      <c r="AO67" s="49"/>
    </row>
    <row r="68" spans="1:108" s="1" customFormat="1" ht="20.149999999999999" customHeight="1" outlineLevel="2">
      <c r="A68" s="302" t="s">
        <v>310</v>
      </c>
      <c r="B68" s="235" t="s">
        <v>120</v>
      </c>
      <c r="C68" s="236" t="str">
        <f>VLOOKUP(A68, 'NZS O&amp;G and CA100'!$B$7:$D$194, 3, FALSE)</f>
        <v>Disclosure</v>
      </c>
      <c r="D68" s="310">
        <f>IF(INDEX('NZS O&amp;G and CA100'!$D$5:$D$193, MATCH($A68, 'NZS O&amp;G and CA100'!$B$5:$B$193, 0)) =$B$4, INDEX('NZS O&amp;G and CA100'!$E$5:$N$193, MATCH($A68, 'NZS O&amp;G and CA100'!$B$5:$B$193, 0),MATCH(D$3, 'NZS O&amp;G and CA100'!$E$3:$N$3, 0)),"")</f>
        <v>0</v>
      </c>
      <c r="E68" s="311">
        <f>IF(INDEX('NZS O&amp;G and CA100'!$D$5:$D$193, MATCH($A68, 'NZS O&amp;G and CA100'!$B$5:$B$193, 0)) =$B$4, INDEX('NZS O&amp;G and CA100'!$E$5:$N$193, MATCH($A68, 'NZS O&amp;G and CA100'!$B$5:$B$193, 0),MATCH(E$3, 'NZS O&amp;G and CA100'!$E$3:$N$3, 0)),"")</f>
        <v>0</v>
      </c>
      <c r="F68" s="311">
        <f>IF(INDEX('NZS O&amp;G and CA100'!$D$5:$D$193, MATCH($A68, 'NZS O&amp;G and CA100'!$B$5:$B$193, 0)) =$B$4, INDEX('NZS O&amp;G and CA100'!$E$5:$N$193, MATCH($A68, 'NZS O&amp;G and CA100'!$B$5:$B$193, 0),MATCH(F$3, 'NZS O&amp;G and CA100'!$E$3:$N$3, 0)),"")</f>
        <v>0</v>
      </c>
      <c r="G68" s="311">
        <f>IF(INDEX('NZS O&amp;G and CA100'!$D$5:$D$193, MATCH($A68, 'NZS O&amp;G and CA100'!$B$5:$B$193, 0)) =$B$4, INDEX('NZS O&amp;G and CA100'!$E$5:$N$193, MATCH($A68, 'NZS O&amp;G and CA100'!$B$5:$B$193, 0),MATCH(G$3, 'NZS O&amp;G and CA100'!$E$3:$N$3, 0)),"")</f>
        <v>0</v>
      </c>
      <c r="H68" s="311">
        <f>IF(INDEX('NZS O&amp;G and CA100'!$D$5:$D$193, MATCH($A68, 'NZS O&amp;G and CA100'!$B$5:$B$193, 0)) =$B$4, INDEX('NZS O&amp;G and CA100'!$E$5:$N$193, MATCH($A68, 'NZS O&amp;G and CA100'!$B$5:$B$193, 0),MATCH(H$3, 'NZS O&amp;G and CA100'!$E$3:$N$3, 0)),"")</f>
        <v>0</v>
      </c>
      <c r="I68" s="311">
        <f>IF(INDEX('NZS O&amp;G and CA100'!$D$5:$D$193, MATCH($A68, 'NZS O&amp;G and CA100'!$B$5:$B$193, 0)) =$B$4, INDEX('NZS O&amp;G and CA100'!$E$5:$N$193, MATCH($A68, 'NZS O&amp;G and CA100'!$B$5:$B$193, 0),MATCH(I$3, 'NZS O&amp;G and CA100'!$E$3:$N$3, 0)),"")</f>
        <v>0</v>
      </c>
      <c r="J68" s="311">
        <f>IF(INDEX('NZS O&amp;G and CA100'!$D$5:$D$193, MATCH($A68, 'NZS O&amp;G and CA100'!$B$5:$B$193, 0)) =$B$4, INDEX('NZS O&amp;G and CA100'!$E$5:$N$193, MATCH($A68, 'NZS O&amp;G and CA100'!$B$5:$B$193, 0),MATCH(J$3, 'NZS O&amp;G and CA100'!$E$3:$N$3, 0)),"")</f>
        <v>0</v>
      </c>
      <c r="K68" s="311">
        <f>IF(INDEX('NZS O&amp;G and CA100'!$D$5:$D$193, MATCH($A68, 'NZS O&amp;G and CA100'!$B$5:$B$193, 0)) =$B$4, INDEX('NZS O&amp;G and CA100'!$E$5:$N$193, MATCH($A68, 'NZS O&amp;G and CA100'!$B$5:$B$193, 0),MATCH(K$3, 'NZS O&amp;G and CA100'!$E$3:$N$3, 0)),"")</f>
        <v>1</v>
      </c>
      <c r="L68" s="311">
        <f>IF(INDEX('NZS O&amp;G and CA100'!$D$5:$D$193, MATCH($A68, 'NZS O&amp;G and CA100'!$B$5:$B$193, 0)) =$B$4, INDEX('NZS O&amp;G and CA100'!$E$5:$N$193, MATCH($A68, 'NZS O&amp;G and CA100'!$B$5:$B$193, 0),MATCH(L$3, 'NZS O&amp;G and CA100'!$E$3:$N$3, 0)),"")</f>
        <v>0</v>
      </c>
      <c r="M68" s="312">
        <f>IF(INDEX('NZS O&amp;G and CA100'!$D$5:$D$193, MATCH($A68, 'NZS O&amp;G and CA100'!$B$5:$B$193, 0)) =$B$4, INDEX('NZS O&amp;G and CA100'!$E$5:$N$193, MATCH($A68, 'NZS O&amp;G and CA100'!$B$5:$B$193, 0),MATCH(M$3, 'NZS O&amp;G and CA100'!$E$3:$N$3, 0)),"")</f>
        <v>1</v>
      </c>
      <c r="O68" s="55" t="str">
        <f>IF(INDEX('NZS O&amp;G and CA100'!$D$5:$D$193, MATCH($A68, 'NZS O&amp;G and CA100'!$B$5:$B$193, 0)) = "Alignment", INDEX('NZS O&amp;G and CA100'!$E$5:$N$193, MATCH($A68, 'NZS O&amp;G and CA100'!$B$5:$B$193, 0),MATCH(O$4, 'NZS O&amp;G and CA100'!$E$3:$N$3, 0)),"")</f>
        <v/>
      </c>
      <c r="P68" s="56" t="str">
        <f>IF(INDEX('NZS O&amp;G and CA100'!$D$5:$D$193, MATCH($A68, 'NZS O&amp;G and CA100'!$B$5:$B$193, 0)) = "Alignment", INDEX('NZS O&amp;G and CA100'!$E$5:$N$193, MATCH($A68, 'NZS O&amp;G and CA100'!$B$5:$B$193, 0),MATCH(P$4, 'NZS O&amp;G and CA100'!$E$3:$N$3, 0)),"")</f>
        <v/>
      </c>
      <c r="Q68" s="56" t="str">
        <f>IF(INDEX('NZS O&amp;G and CA100'!$D$5:$D$193, MATCH($A68, 'NZS O&amp;G and CA100'!$B$5:$B$193, 0)) = "Alignment", INDEX('NZS O&amp;G and CA100'!$E$5:$N$193, MATCH($A68, 'NZS O&amp;G and CA100'!$B$5:$B$193, 0),MATCH(Q$4, 'NZS O&amp;G and CA100'!$E$3:$N$3, 0)),"")</f>
        <v/>
      </c>
      <c r="R68" s="56" t="str">
        <f>IF(INDEX('NZS O&amp;G and CA100'!$D$5:$D$193, MATCH($A68, 'NZS O&amp;G and CA100'!$B$5:$B$193, 0)) = "Alignment", INDEX('NZS O&amp;G and CA100'!$E$5:$N$193, MATCH($A68, 'NZS O&amp;G and CA100'!$B$5:$B$193, 0),MATCH(R$4, 'NZS O&amp;G and CA100'!$E$3:$N$3, 0)),"")</f>
        <v/>
      </c>
      <c r="S68" s="56" t="str">
        <f>IF(INDEX('NZS O&amp;G and CA100'!$D$5:$D$193, MATCH($A68, 'NZS O&amp;G and CA100'!$B$5:$B$193, 0)) = "Alignment", INDEX('NZS O&amp;G and CA100'!$E$5:$N$193, MATCH($A68, 'NZS O&amp;G and CA100'!$B$5:$B$193, 0),MATCH(S$4, 'NZS O&amp;G and CA100'!$E$3:$N$3, 0)),"")</f>
        <v/>
      </c>
      <c r="T68" s="56" t="str">
        <f>IF(INDEX('NZS O&amp;G and CA100'!$D$5:$D$193, MATCH($A68, 'NZS O&amp;G and CA100'!$B$5:$B$193, 0)) = "Alignment", INDEX('NZS O&amp;G and CA100'!$E$5:$N$193, MATCH($A68, 'NZS O&amp;G and CA100'!$B$5:$B$193, 0),MATCH(T$4, 'NZS O&amp;G and CA100'!$E$3:$N$3, 0)),"")</f>
        <v/>
      </c>
      <c r="U68" s="56" t="str">
        <f>IF(INDEX('NZS O&amp;G and CA100'!$D$5:$D$193, MATCH($A68, 'NZS O&amp;G and CA100'!$B$5:$B$193, 0)) = "Alignment", INDEX('NZS O&amp;G and CA100'!$E$5:$N$193, MATCH($A68, 'NZS O&amp;G and CA100'!$B$5:$B$193, 0),MATCH(U$4, 'NZS O&amp;G and CA100'!$E$3:$N$3, 0)),"")</f>
        <v/>
      </c>
      <c r="V68" s="56" t="str">
        <f>IF(INDEX('NZS O&amp;G and CA100'!$D$5:$D$193, MATCH($A68, 'NZS O&amp;G and CA100'!$B$5:$B$193, 0)) = "Alignment", INDEX('NZS O&amp;G and CA100'!$E$5:$N$193, MATCH($A68, 'NZS O&amp;G and CA100'!$B$5:$B$193, 0),MATCH(V$4, 'NZS O&amp;G and CA100'!$E$3:$N$3, 0)),"")</f>
        <v/>
      </c>
      <c r="W68" s="56" t="str">
        <f>IF(INDEX('NZS O&amp;G and CA100'!$D$5:$D$193, MATCH($A68, 'NZS O&amp;G and CA100'!$B$5:$B$193, 0)) = "Alignment", INDEX('NZS O&amp;G and CA100'!$E$5:$N$193, MATCH($A68, 'NZS O&amp;G and CA100'!$B$5:$B$193, 0),MATCH(L$3, 'NZS O&amp;G and CA100'!$E$3:$N$3, 0)),"")</f>
        <v/>
      </c>
      <c r="X68" s="57" t="str">
        <f>IF(INDEX('NZS O&amp;G and CA100'!$D$5:$D$193, MATCH($A68, 'NZS O&amp;G and CA100'!$B$5:$B$193, 0)) = "Alignment", INDEX('NZS O&amp;G and CA100'!$E$5:$N$193, MATCH($A68, 'NZS O&amp;G and CA100'!$B$5:$B$193, 0),MATCH(M$3, 'NZS O&amp;G and CA100'!$E$3:$N$3, 0)),"")</f>
        <v/>
      </c>
      <c r="Z68" s="55"/>
      <c r="AA68" s="56"/>
      <c r="AB68" s="56"/>
      <c r="AC68" s="56"/>
      <c r="AD68" s="56"/>
      <c r="AE68" s="56"/>
      <c r="AF68" s="56"/>
      <c r="AG68" s="56"/>
      <c r="AH68" s="56"/>
      <c r="AI68" s="57"/>
      <c r="AK68" s="49"/>
      <c r="AL68" s="49"/>
      <c r="AM68" s="49"/>
      <c r="AN68" s="49"/>
      <c r="AO68" s="49"/>
    </row>
    <row r="69" spans="1:108" s="1" customFormat="1" ht="20.149999999999999" customHeight="1" outlineLevel="2">
      <c r="A69" s="302" t="s">
        <v>311</v>
      </c>
      <c r="B69" s="235" t="s">
        <v>121</v>
      </c>
      <c r="C69" s="236" t="str">
        <f>VLOOKUP(A69, 'NZS O&amp;G and CA100'!$B$7:$D$194, 3, FALSE)</f>
        <v>Disclosure</v>
      </c>
      <c r="D69" s="310" t="str">
        <f>IF(INDEX('NZS O&amp;G and CA100'!$D$5:$D$193, MATCH($A69, 'NZS O&amp;G and CA100'!$B$5:$B$193, 0)) =$B$4, INDEX('NZS O&amp;G and CA100'!$E$5:$N$193, MATCH($A69, 'NZS O&amp;G and CA100'!$B$5:$B$193, 0),MATCH(D$3, 'NZS O&amp;G and CA100'!$E$3:$N$3, 0)),"")</f>
        <v>Not Applicable</v>
      </c>
      <c r="E69" s="311">
        <f>IF(INDEX('NZS O&amp;G and CA100'!$D$5:$D$193, MATCH($A69, 'NZS O&amp;G and CA100'!$B$5:$B$193, 0)) =$B$4, INDEX('NZS O&amp;G and CA100'!$E$5:$N$193, MATCH($A69, 'NZS O&amp;G and CA100'!$B$5:$B$193, 0),MATCH(E$3, 'NZS O&amp;G and CA100'!$E$3:$N$3, 0)),"")</f>
        <v>0</v>
      </c>
      <c r="F69" s="311">
        <f>IF(INDEX('NZS O&amp;G and CA100'!$D$5:$D$193, MATCH($A69, 'NZS O&amp;G and CA100'!$B$5:$B$193, 0)) =$B$4, INDEX('NZS O&amp;G and CA100'!$E$5:$N$193, MATCH($A69, 'NZS O&amp;G and CA100'!$B$5:$B$193, 0),MATCH(F$3, 'NZS O&amp;G and CA100'!$E$3:$N$3, 0)),"")</f>
        <v>0</v>
      </c>
      <c r="G69" s="311">
        <f>IF(INDEX('NZS O&amp;G and CA100'!$D$5:$D$193, MATCH($A69, 'NZS O&amp;G and CA100'!$B$5:$B$193, 0)) =$B$4, INDEX('NZS O&amp;G and CA100'!$E$5:$N$193, MATCH($A69, 'NZS O&amp;G and CA100'!$B$5:$B$193, 0),MATCH(G$3, 'NZS O&amp;G and CA100'!$E$3:$N$3, 0)),"")</f>
        <v>0</v>
      </c>
      <c r="H69" s="311">
        <f>IF(INDEX('NZS O&amp;G and CA100'!$D$5:$D$193, MATCH($A69, 'NZS O&amp;G and CA100'!$B$5:$B$193, 0)) =$B$4, INDEX('NZS O&amp;G and CA100'!$E$5:$N$193, MATCH($A69, 'NZS O&amp;G and CA100'!$B$5:$B$193, 0),MATCH(H$3, 'NZS O&amp;G and CA100'!$E$3:$N$3, 0)),"")</f>
        <v>0</v>
      </c>
      <c r="I69" s="311">
        <f>IF(INDEX('NZS O&amp;G and CA100'!$D$5:$D$193, MATCH($A69, 'NZS O&amp;G and CA100'!$B$5:$B$193, 0)) =$B$4, INDEX('NZS O&amp;G and CA100'!$E$5:$N$193, MATCH($A69, 'NZS O&amp;G and CA100'!$B$5:$B$193, 0),MATCH(I$3, 'NZS O&amp;G and CA100'!$E$3:$N$3, 0)),"")</f>
        <v>0</v>
      </c>
      <c r="J69" s="311">
        <f>IF(INDEX('NZS O&amp;G and CA100'!$D$5:$D$193, MATCH($A69, 'NZS O&amp;G and CA100'!$B$5:$B$193, 0)) =$B$4, INDEX('NZS O&amp;G and CA100'!$E$5:$N$193, MATCH($A69, 'NZS O&amp;G and CA100'!$B$5:$B$193, 0),MATCH(J$3, 'NZS O&amp;G and CA100'!$E$3:$N$3, 0)),"")</f>
        <v>0</v>
      </c>
      <c r="K69" s="311">
        <f>IF(INDEX('NZS O&amp;G and CA100'!$D$5:$D$193, MATCH($A69, 'NZS O&amp;G and CA100'!$B$5:$B$193, 0)) =$B$4, INDEX('NZS O&amp;G and CA100'!$E$5:$N$193, MATCH($A69, 'NZS O&amp;G and CA100'!$B$5:$B$193, 0),MATCH(K$3, 'NZS O&amp;G and CA100'!$E$3:$N$3, 0)),"")</f>
        <v>0</v>
      </c>
      <c r="L69" s="311">
        <f>IF(INDEX('NZS O&amp;G and CA100'!$D$5:$D$193, MATCH($A69, 'NZS O&amp;G and CA100'!$B$5:$B$193, 0)) =$B$4, INDEX('NZS O&amp;G and CA100'!$E$5:$N$193, MATCH($A69, 'NZS O&amp;G and CA100'!$B$5:$B$193, 0),MATCH(L$3, 'NZS O&amp;G and CA100'!$E$3:$N$3, 0)),"")</f>
        <v>0</v>
      </c>
      <c r="M69" s="312">
        <f>IF(INDEX('NZS O&amp;G and CA100'!$D$5:$D$193, MATCH($A69, 'NZS O&amp;G and CA100'!$B$5:$B$193, 0)) =$B$4, INDEX('NZS O&amp;G and CA100'!$E$5:$N$193, MATCH($A69, 'NZS O&amp;G and CA100'!$B$5:$B$193, 0),MATCH(M$3, 'NZS O&amp;G and CA100'!$E$3:$N$3, 0)),"")</f>
        <v>0</v>
      </c>
      <c r="O69" s="55" t="str">
        <f>IF(INDEX('NZS O&amp;G and CA100'!$D$5:$D$193, MATCH($A69, 'NZS O&amp;G and CA100'!$B$5:$B$193, 0)) = "Alignment", INDEX('NZS O&amp;G and CA100'!$E$5:$N$193, MATCH($A69, 'NZS O&amp;G and CA100'!$B$5:$B$193, 0),MATCH(O$4, 'NZS O&amp;G and CA100'!$E$3:$N$3, 0)),"")</f>
        <v/>
      </c>
      <c r="P69" s="56" t="str">
        <f>IF(INDEX('NZS O&amp;G and CA100'!$D$5:$D$193, MATCH($A69, 'NZS O&amp;G and CA100'!$B$5:$B$193, 0)) = "Alignment", INDEX('NZS O&amp;G and CA100'!$E$5:$N$193, MATCH($A69, 'NZS O&amp;G and CA100'!$B$5:$B$193, 0),MATCH(P$4, 'NZS O&amp;G and CA100'!$E$3:$N$3, 0)),"")</f>
        <v/>
      </c>
      <c r="Q69" s="56" t="str">
        <f>IF(INDEX('NZS O&amp;G and CA100'!$D$5:$D$193, MATCH($A69, 'NZS O&amp;G and CA100'!$B$5:$B$193, 0)) = "Alignment", INDEX('NZS O&amp;G and CA100'!$E$5:$N$193, MATCH($A69, 'NZS O&amp;G and CA100'!$B$5:$B$193, 0),MATCH(Q$4, 'NZS O&amp;G and CA100'!$E$3:$N$3, 0)),"")</f>
        <v/>
      </c>
      <c r="R69" s="56" t="str">
        <f>IF(INDEX('NZS O&amp;G and CA100'!$D$5:$D$193, MATCH($A69, 'NZS O&amp;G and CA100'!$B$5:$B$193, 0)) = "Alignment", INDEX('NZS O&amp;G and CA100'!$E$5:$N$193, MATCH($A69, 'NZS O&amp;G and CA100'!$B$5:$B$193, 0),MATCH(R$4, 'NZS O&amp;G and CA100'!$E$3:$N$3, 0)),"")</f>
        <v/>
      </c>
      <c r="S69" s="56" t="str">
        <f>IF(INDEX('NZS O&amp;G and CA100'!$D$5:$D$193, MATCH($A69, 'NZS O&amp;G and CA100'!$B$5:$B$193, 0)) = "Alignment", INDEX('NZS O&amp;G and CA100'!$E$5:$N$193, MATCH($A69, 'NZS O&amp;G and CA100'!$B$5:$B$193, 0),MATCH(S$4, 'NZS O&amp;G and CA100'!$E$3:$N$3, 0)),"")</f>
        <v/>
      </c>
      <c r="T69" s="56" t="str">
        <f>IF(INDEX('NZS O&amp;G and CA100'!$D$5:$D$193, MATCH($A69, 'NZS O&amp;G and CA100'!$B$5:$B$193, 0)) = "Alignment", INDEX('NZS O&amp;G and CA100'!$E$5:$N$193, MATCH($A69, 'NZS O&amp;G and CA100'!$B$5:$B$193, 0),MATCH(T$4, 'NZS O&amp;G and CA100'!$E$3:$N$3, 0)),"")</f>
        <v/>
      </c>
      <c r="U69" s="56" t="str">
        <f>IF(INDEX('NZS O&amp;G and CA100'!$D$5:$D$193, MATCH($A69, 'NZS O&amp;G and CA100'!$B$5:$B$193, 0)) = "Alignment", INDEX('NZS O&amp;G and CA100'!$E$5:$N$193, MATCH($A69, 'NZS O&amp;G and CA100'!$B$5:$B$193, 0),MATCH(U$4, 'NZS O&amp;G and CA100'!$E$3:$N$3, 0)),"")</f>
        <v/>
      </c>
      <c r="V69" s="56" t="str">
        <f>IF(INDEX('NZS O&amp;G and CA100'!$D$5:$D$193, MATCH($A69, 'NZS O&amp;G and CA100'!$B$5:$B$193, 0)) = "Alignment", INDEX('NZS O&amp;G and CA100'!$E$5:$N$193, MATCH($A69, 'NZS O&amp;G and CA100'!$B$5:$B$193, 0),MATCH(V$4, 'NZS O&amp;G and CA100'!$E$3:$N$3, 0)),"")</f>
        <v/>
      </c>
      <c r="W69" s="56" t="str">
        <f>IF(INDEX('NZS O&amp;G and CA100'!$D$5:$D$193, MATCH($A69, 'NZS O&amp;G and CA100'!$B$5:$B$193, 0)) = "Alignment", INDEX('NZS O&amp;G and CA100'!$E$5:$N$193, MATCH($A69, 'NZS O&amp;G and CA100'!$B$5:$B$193, 0),MATCH(L$3, 'NZS O&amp;G and CA100'!$E$3:$N$3, 0)),"")</f>
        <v/>
      </c>
      <c r="X69" s="57" t="str">
        <f>IF(INDEX('NZS O&amp;G and CA100'!$D$5:$D$193, MATCH($A69, 'NZS O&amp;G and CA100'!$B$5:$B$193, 0)) = "Alignment", INDEX('NZS O&amp;G and CA100'!$E$5:$N$193, MATCH($A69, 'NZS O&amp;G and CA100'!$B$5:$B$193, 0),MATCH(M$3, 'NZS O&amp;G and CA100'!$E$3:$N$3, 0)),"")</f>
        <v/>
      </c>
      <c r="Z69" s="55"/>
      <c r="AA69" s="56"/>
      <c r="AB69" s="56"/>
      <c r="AC69" s="56"/>
      <c r="AD69" s="56"/>
      <c r="AE69" s="56"/>
      <c r="AF69" s="56"/>
      <c r="AG69" s="56"/>
      <c r="AH69" s="56"/>
      <c r="AI69" s="57"/>
      <c r="AK69" s="49"/>
      <c r="AL69" s="49"/>
      <c r="AM69" s="49"/>
      <c r="AN69" s="49"/>
      <c r="AO69" s="49"/>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CQ69" s="50"/>
      <c r="CR69" s="50"/>
      <c r="CS69" s="50"/>
      <c r="CT69" s="50"/>
      <c r="CU69" s="50"/>
      <c r="CV69" s="50"/>
      <c r="CW69" s="50"/>
      <c r="CX69" s="50"/>
      <c r="CY69" s="50"/>
      <c r="CZ69" s="50"/>
      <c r="DA69" s="50"/>
      <c r="DB69" s="50"/>
      <c r="DC69" s="50"/>
      <c r="DD69" s="50"/>
    </row>
    <row r="70" spans="1:108" s="1" customFormat="1" ht="20.149999999999999" customHeight="1" outlineLevel="2">
      <c r="A70" s="302" t="s">
        <v>312</v>
      </c>
      <c r="B70" s="235" t="s">
        <v>122</v>
      </c>
      <c r="C70" s="236" t="str">
        <f>VLOOKUP(A70, 'NZS O&amp;G and CA100'!$B$7:$D$194, 3, FALSE)</f>
        <v>Disclosure</v>
      </c>
      <c r="D70" s="310">
        <f>IF(INDEX('NZS O&amp;G and CA100'!$D$5:$D$193, MATCH($A70, 'NZS O&amp;G and CA100'!$B$5:$B$193, 0)) =$B$4, INDEX('NZS O&amp;G and CA100'!$E$5:$N$193, MATCH($A70, 'NZS O&amp;G and CA100'!$B$5:$B$193, 0),MATCH(D$3, 'NZS O&amp;G and CA100'!$E$3:$N$3, 0)),"")</f>
        <v>0</v>
      </c>
      <c r="E70" s="311">
        <f>IF(INDEX('NZS O&amp;G and CA100'!$D$5:$D$193, MATCH($A70, 'NZS O&amp;G and CA100'!$B$5:$B$193, 0)) =$B$4, INDEX('NZS O&amp;G and CA100'!$E$5:$N$193, MATCH($A70, 'NZS O&amp;G and CA100'!$B$5:$B$193, 0),MATCH(E$3, 'NZS O&amp;G and CA100'!$E$3:$N$3, 0)),"")</f>
        <v>0</v>
      </c>
      <c r="F70" s="311">
        <f>IF(INDEX('NZS O&amp;G and CA100'!$D$5:$D$193, MATCH($A70, 'NZS O&amp;G and CA100'!$B$5:$B$193, 0)) =$B$4, INDEX('NZS O&amp;G and CA100'!$E$5:$N$193, MATCH($A70, 'NZS O&amp;G and CA100'!$B$5:$B$193, 0),MATCH(F$3, 'NZS O&amp;G and CA100'!$E$3:$N$3, 0)),"")</f>
        <v>0</v>
      </c>
      <c r="G70" s="311">
        <f>IF(INDEX('NZS O&amp;G and CA100'!$D$5:$D$193, MATCH($A70, 'NZS O&amp;G and CA100'!$B$5:$B$193, 0)) =$B$4, INDEX('NZS O&amp;G and CA100'!$E$5:$N$193, MATCH($A70, 'NZS O&amp;G and CA100'!$B$5:$B$193, 0),MATCH(G$3, 'NZS O&amp;G and CA100'!$E$3:$N$3, 0)),"")</f>
        <v>0</v>
      </c>
      <c r="H70" s="311">
        <f>IF(INDEX('NZS O&amp;G and CA100'!$D$5:$D$193, MATCH($A70, 'NZS O&amp;G and CA100'!$B$5:$B$193, 0)) =$B$4, INDEX('NZS O&amp;G and CA100'!$E$5:$N$193, MATCH($A70, 'NZS O&amp;G and CA100'!$B$5:$B$193, 0),MATCH(H$3, 'NZS O&amp;G and CA100'!$E$3:$N$3, 0)),"")</f>
        <v>0</v>
      </c>
      <c r="I70" s="311">
        <f>IF(INDEX('NZS O&amp;G and CA100'!$D$5:$D$193, MATCH($A70, 'NZS O&amp;G and CA100'!$B$5:$B$193, 0)) =$B$4, INDEX('NZS O&amp;G and CA100'!$E$5:$N$193, MATCH($A70, 'NZS O&amp;G and CA100'!$B$5:$B$193, 0),MATCH(I$3, 'NZS O&amp;G and CA100'!$E$3:$N$3, 0)),"")</f>
        <v>0</v>
      </c>
      <c r="J70" s="311">
        <f>IF(INDEX('NZS O&amp;G and CA100'!$D$5:$D$193, MATCH($A70, 'NZS O&amp;G and CA100'!$B$5:$B$193, 0)) =$B$4, INDEX('NZS O&amp;G and CA100'!$E$5:$N$193, MATCH($A70, 'NZS O&amp;G and CA100'!$B$5:$B$193, 0),MATCH(J$3, 'NZS O&amp;G and CA100'!$E$3:$N$3, 0)),"")</f>
        <v>0</v>
      </c>
      <c r="K70" s="311">
        <f>IF(INDEX('NZS O&amp;G and CA100'!$D$5:$D$193, MATCH($A70, 'NZS O&amp;G and CA100'!$B$5:$B$193, 0)) =$B$4, INDEX('NZS O&amp;G and CA100'!$E$5:$N$193, MATCH($A70, 'NZS O&amp;G and CA100'!$B$5:$B$193, 0),MATCH(K$3, 'NZS O&amp;G and CA100'!$E$3:$N$3, 0)),"")</f>
        <v>0</v>
      </c>
      <c r="L70" s="311">
        <f>IF(INDEX('NZS O&amp;G and CA100'!$D$5:$D$193, MATCH($A70, 'NZS O&amp;G and CA100'!$B$5:$B$193, 0)) =$B$4, INDEX('NZS O&amp;G and CA100'!$E$5:$N$193, MATCH($A70, 'NZS O&amp;G and CA100'!$B$5:$B$193, 0),MATCH(L$3, 'NZS O&amp;G and CA100'!$E$3:$N$3, 0)),"")</f>
        <v>0</v>
      </c>
      <c r="M70" s="312">
        <f>IF(INDEX('NZS O&amp;G and CA100'!$D$5:$D$193, MATCH($A70, 'NZS O&amp;G and CA100'!$B$5:$B$193, 0)) =$B$4, INDEX('NZS O&amp;G and CA100'!$E$5:$N$193, MATCH($A70, 'NZS O&amp;G and CA100'!$B$5:$B$193, 0),MATCH(M$3, 'NZS O&amp;G and CA100'!$E$3:$N$3, 0)),"")</f>
        <v>0</v>
      </c>
      <c r="O70" s="55" t="str">
        <f>IF(INDEX('NZS O&amp;G and CA100'!$D$5:$D$193, MATCH($A70, 'NZS O&amp;G and CA100'!$B$5:$B$193, 0)) = "Alignment", INDEX('NZS O&amp;G and CA100'!$E$5:$N$193, MATCH($A70, 'NZS O&amp;G and CA100'!$B$5:$B$193, 0),MATCH(O$4, 'NZS O&amp;G and CA100'!$E$3:$N$3, 0)),"")</f>
        <v/>
      </c>
      <c r="P70" s="56" t="str">
        <f>IF(INDEX('NZS O&amp;G and CA100'!$D$5:$D$193, MATCH($A70, 'NZS O&amp;G and CA100'!$B$5:$B$193, 0)) = "Alignment", INDEX('NZS O&amp;G and CA100'!$E$5:$N$193, MATCH($A70, 'NZS O&amp;G and CA100'!$B$5:$B$193, 0),MATCH(P$4, 'NZS O&amp;G and CA100'!$E$3:$N$3, 0)),"")</f>
        <v/>
      </c>
      <c r="Q70" s="56" t="str">
        <f>IF(INDEX('NZS O&amp;G and CA100'!$D$5:$D$193, MATCH($A70, 'NZS O&amp;G and CA100'!$B$5:$B$193, 0)) = "Alignment", INDEX('NZS O&amp;G and CA100'!$E$5:$N$193, MATCH($A70, 'NZS O&amp;G and CA100'!$B$5:$B$193, 0),MATCH(Q$4, 'NZS O&amp;G and CA100'!$E$3:$N$3, 0)),"")</f>
        <v/>
      </c>
      <c r="R70" s="56" t="str">
        <f>IF(INDEX('NZS O&amp;G and CA100'!$D$5:$D$193, MATCH($A70, 'NZS O&amp;G and CA100'!$B$5:$B$193, 0)) = "Alignment", INDEX('NZS O&amp;G and CA100'!$E$5:$N$193, MATCH($A70, 'NZS O&amp;G and CA100'!$B$5:$B$193, 0),MATCH(R$4, 'NZS O&amp;G and CA100'!$E$3:$N$3, 0)),"")</f>
        <v/>
      </c>
      <c r="S70" s="56" t="str">
        <f>IF(INDEX('NZS O&amp;G and CA100'!$D$5:$D$193, MATCH($A70, 'NZS O&amp;G and CA100'!$B$5:$B$193, 0)) = "Alignment", INDEX('NZS O&amp;G and CA100'!$E$5:$N$193, MATCH($A70, 'NZS O&amp;G and CA100'!$B$5:$B$193, 0),MATCH(S$4, 'NZS O&amp;G and CA100'!$E$3:$N$3, 0)),"")</f>
        <v/>
      </c>
      <c r="T70" s="56" t="str">
        <f>IF(INDEX('NZS O&amp;G and CA100'!$D$5:$D$193, MATCH($A70, 'NZS O&amp;G and CA100'!$B$5:$B$193, 0)) = "Alignment", INDEX('NZS O&amp;G and CA100'!$E$5:$N$193, MATCH($A70, 'NZS O&amp;G and CA100'!$B$5:$B$193, 0),MATCH(T$4, 'NZS O&amp;G and CA100'!$E$3:$N$3, 0)),"")</f>
        <v/>
      </c>
      <c r="U70" s="56" t="str">
        <f>IF(INDEX('NZS O&amp;G and CA100'!$D$5:$D$193, MATCH($A70, 'NZS O&amp;G and CA100'!$B$5:$B$193, 0)) = "Alignment", INDEX('NZS O&amp;G and CA100'!$E$5:$N$193, MATCH($A70, 'NZS O&amp;G and CA100'!$B$5:$B$193, 0),MATCH(U$4, 'NZS O&amp;G and CA100'!$E$3:$N$3, 0)),"")</f>
        <v/>
      </c>
      <c r="V70" s="56" t="str">
        <f>IF(INDEX('NZS O&amp;G and CA100'!$D$5:$D$193, MATCH($A70, 'NZS O&amp;G and CA100'!$B$5:$B$193, 0)) = "Alignment", INDEX('NZS O&amp;G and CA100'!$E$5:$N$193, MATCH($A70, 'NZS O&amp;G and CA100'!$B$5:$B$193, 0),MATCH(V$4, 'NZS O&amp;G and CA100'!$E$3:$N$3, 0)),"")</f>
        <v/>
      </c>
      <c r="W70" s="56" t="str">
        <f>IF(INDEX('NZS O&amp;G and CA100'!$D$5:$D$193, MATCH($A70, 'NZS O&amp;G and CA100'!$B$5:$B$193, 0)) = "Alignment", INDEX('NZS O&amp;G and CA100'!$E$5:$N$193, MATCH($A70, 'NZS O&amp;G and CA100'!$B$5:$B$193, 0),MATCH(L$3, 'NZS O&amp;G and CA100'!$E$3:$N$3, 0)),"")</f>
        <v/>
      </c>
      <c r="X70" s="57" t="str">
        <f>IF(INDEX('NZS O&amp;G and CA100'!$D$5:$D$193, MATCH($A70, 'NZS O&amp;G and CA100'!$B$5:$B$193, 0)) = "Alignment", INDEX('NZS O&amp;G and CA100'!$E$5:$N$193, MATCH($A70, 'NZS O&amp;G and CA100'!$B$5:$B$193, 0),MATCH(M$3, 'NZS O&amp;G and CA100'!$E$3:$N$3, 0)),"")</f>
        <v/>
      </c>
      <c r="Z70" s="55"/>
      <c r="AA70" s="56"/>
      <c r="AB70" s="56"/>
      <c r="AC70" s="56"/>
      <c r="AD70" s="56"/>
      <c r="AE70" s="56"/>
      <c r="AF70" s="56"/>
      <c r="AG70" s="56"/>
      <c r="AH70" s="56"/>
      <c r="AI70" s="57"/>
      <c r="AK70" s="49"/>
      <c r="AL70" s="49"/>
      <c r="AM70" s="49"/>
      <c r="AN70" s="49"/>
      <c r="AO70" s="49"/>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CQ70" s="50"/>
      <c r="CR70" s="50"/>
      <c r="CS70" s="50"/>
      <c r="CT70" s="50"/>
      <c r="CU70" s="50"/>
      <c r="CV70" s="50"/>
      <c r="CW70" s="50"/>
      <c r="CX70" s="50"/>
      <c r="CY70" s="50"/>
      <c r="CZ70" s="50"/>
      <c r="DA70" s="50"/>
      <c r="DB70" s="50"/>
      <c r="DC70" s="50"/>
      <c r="DD70" s="50"/>
    </row>
    <row r="71" spans="1:108" s="1" customFormat="1" ht="20.149999999999999" customHeight="1" outlineLevel="2">
      <c r="A71" s="302" t="s">
        <v>313</v>
      </c>
      <c r="B71" s="235" t="s">
        <v>123</v>
      </c>
      <c r="C71" s="236" t="str">
        <f>VLOOKUP(A71, 'NZS O&amp;G and CA100'!$B$7:$D$194, 3, FALSE)</f>
        <v>Disclosure</v>
      </c>
      <c r="D71" s="310">
        <f>IF(INDEX('NZS O&amp;G and CA100'!$D$5:$D$193, MATCH($A71, 'NZS O&amp;G and CA100'!$B$5:$B$193, 0)) =$B$4, INDEX('NZS O&amp;G and CA100'!$E$5:$N$193, MATCH($A71, 'NZS O&amp;G and CA100'!$B$5:$B$193, 0),MATCH(D$3, 'NZS O&amp;G and CA100'!$E$3:$N$3, 0)),"")</f>
        <v>0</v>
      </c>
      <c r="E71" s="311">
        <f>IF(INDEX('NZS O&amp;G and CA100'!$D$5:$D$193, MATCH($A71, 'NZS O&amp;G and CA100'!$B$5:$B$193, 0)) =$B$4, INDEX('NZS O&amp;G and CA100'!$E$5:$N$193, MATCH($A71, 'NZS O&amp;G and CA100'!$B$5:$B$193, 0),MATCH(E$3, 'NZS O&amp;G and CA100'!$E$3:$N$3, 0)),"")</f>
        <v>0</v>
      </c>
      <c r="F71" s="311">
        <f>IF(INDEX('NZS O&amp;G and CA100'!$D$5:$D$193, MATCH($A71, 'NZS O&amp;G and CA100'!$B$5:$B$193, 0)) =$B$4, INDEX('NZS O&amp;G and CA100'!$E$5:$N$193, MATCH($A71, 'NZS O&amp;G and CA100'!$B$5:$B$193, 0),MATCH(F$3, 'NZS O&amp;G and CA100'!$E$3:$N$3, 0)),"")</f>
        <v>0</v>
      </c>
      <c r="G71" s="311">
        <f>IF(INDEX('NZS O&amp;G and CA100'!$D$5:$D$193, MATCH($A71, 'NZS O&amp;G and CA100'!$B$5:$B$193, 0)) =$B$4, INDEX('NZS O&amp;G and CA100'!$E$5:$N$193, MATCH($A71, 'NZS O&amp;G and CA100'!$B$5:$B$193, 0),MATCH(G$3, 'NZS O&amp;G and CA100'!$E$3:$N$3, 0)),"")</f>
        <v>0</v>
      </c>
      <c r="H71" s="311">
        <f>IF(INDEX('NZS O&amp;G and CA100'!$D$5:$D$193, MATCH($A71, 'NZS O&amp;G and CA100'!$B$5:$B$193, 0)) =$B$4, INDEX('NZS O&amp;G and CA100'!$E$5:$N$193, MATCH($A71, 'NZS O&amp;G and CA100'!$B$5:$B$193, 0),MATCH(H$3, 'NZS O&amp;G and CA100'!$E$3:$N$3, 0)),"")</f>
        <v>0</v>
      </c>
      <c r="I71" s="311">
        <f>IF(INDEX('NZS O&amp;G and CA100'!$D$5:$D$193, MATCH($A71, 'NZS O&amp;G and CA100'!$B$5:$B$193, 0)) =$B$4, INDEX('NZS O&amp;G and CA100'!$E$5:$N$193, MATCH($A71, 'NZS O&amp;G and CA100'!$B$5:$B$193, 0),MATCH(I$3, 'NZS O&amp;G and CA100'!$E$3:$N$3, 0)),"")</f>
        <v>0</v>
      </c>
      <c r="J71" s="311">
        <f>IF(INDEX('NZS O&amp;G and CA100'!$D$5:$D$193, MATCH($A71, 'NZS O&amp;G and CA100'!$B$5:$B$193, 0)) =$B$4, INDEX('NZS O&amp;G and CA100'!$E$5:$N$193, MATCH($A71, 'NZS O&amp;G and CA100'!$B$5:$B$193, 0),MATCH(J$3, 'NZS O&amp;G and CA100'!$E$3:$N$3, 0)),"")</f>
        <v>0</v>
      </c>
      <c r="K71" s="311">
        <f>IF(INDEX('NZS O&amp;G and CA100'!$D$5:$D$193, MATCH($A71, 'NZS O&amp;G and CA100'!$B$5:$B$193, 0)) =$B$4, INDEX('NZS O&amp;G and CA100'!$E$5:$N$193, MATCH($A71, 'NZS O&amp;G and CA100'!$B$5:$B$193, 0),MATCH(K$3, 'NZS O&amp;G and CA100'!$E$3:$N$3, 0)),"")</f>
        <v>0</v>
      </c>
      <c r="L71" s="311">
        <f>IF(INDEX('NZS O&amp;G and CA100'!$D$5:$D$193, MATCH($A71, 'NZS O&amp;G and CA100'!$B$5:$B$193, 0)) =$B$4, INDEX('NZS O&amp;G and CA100'!$E$5:$N$193, MATCH($A71, 'NZS O&amp;G and CA100'!$B$5:$B$193, 0),MATCH(L$3, 'NZS O&amp;G and CA100'!$E$3:$N$3, 0)),"")</f>
        <v>0</v>
      </c>
      <c r="M71" s="312">
        <f>IF(INDEX('NZS O&amp;G and CA100'!$D$5:$D$193, MATCH($A71, 'NZS O&amp;G and CA100'!$B$5:$B$193, 0)) =$B$4, INDEX('NZS O&amp;G and CA100'!$E$5:$N$193, MATCH($A71, 'NZS O&amp;G and CA100'!$B$5:$B$193, 0),MATCH(M$3, 'NZS O&amp;G and CA100'!$E$3:$N$3, 0)),"")</f>
        <v>0</v>
      </c>
      <c r="O71" s="55" t="str">
        <f>IF(INDEX('NZS O&amp;G and CA100'!$D$5:$D$193, MATCH($A71, 'NZS O&amp;G and CA100'!$B$5:$B$193, 0)) = "Alignment", INDEX('NZS O&amp;G and CA100'!$E$5:$N$193, MATCH($A71, 'NZS O&amp;G and CA100'!$B$5:$B$193, 0),MATCH(O$4, 'NZS O&amp;G and CA100'!$E$3:$N$3, 0)),"")</f>
        <v/>
      </c>
      <c r="P71" s="56" t="str">
        <f>IF(INDEX('NZS O&amp;G and CA100'!$D$5:$D$193, MATCH($A71, 'NZS O&amp;G and CA100'!$B$5:$B$193, 0)) = "Alignment", INDEX('NZS O&amp;G and CA100'!$E$5:$N$193, MATCH($A71, 'NZS O&amp;G and CA100'!$B$5:$B$193, 0),MATCH(P$4, 'NZS O&amp;G and CA100'!$E$3:$N$3, 0)),"")</f>
        <v/>
      </c>
      <c r="Q71" s="56" t="str">
        <f>IF(INDEX('NZS O&amp;G and CA100'!$D$5:$D$193, MATCH($A71, 'NZS O&amp;G and CA100'!$B$5:$B$193, 0)) = "Alignment", INDEX('NZS O&amp;G and CA100'!$E$5:$N$193, MATCH($A71, 'NZS O&amp;G and CA100'!$B$5:$B$193, 0),MATCH(Q$4, 'NZS O&amp;G and CA100'!$E$3:$N$3, 0)),"")</f>
        <v/>
      </c>
      <c r="R71" s="56" t="str">
        <f>IF(INDEX('NZS O&amp;G and CA100'!$D$5:$D$193, MATCH($A71, 'NZS O&amp;G and CA100'!$B$5:$B$193, 0)) = "Alignment", INDEX('NZS O&amp;G and CA100'!$E$5:$N$193, MATCH($A71, 'NZS O&amp;G and CA100'!$B$5:$B$193, 0),MATCH(R$4, 'NZS O&amp;G and CA100'!$E$3:$N$3, 0)),"")</f>
        <v/>
      </c>
      <c r="S71" s="56" t="str">
        <f>IF(INDEX('NZS O&amp;G and CA100'!$D$5:$D$193, MATCH($A71, 'NZS O&amp;G and CA100'!$B$5:$B$193, 0)) = "Alignment", INDEX('NZS O&amp;G and CA100'!$E$5:$N$193, MATCH($A71, 'NZS O&amp;G and CA100'!$B$5:$B$193, 0),MATCH(S$4, 'NZS O&amp;G and CA100'!$E$3:$N$3, 0)),"")</f>
        <v/>
      </c>
      <c r="T71" s="56" t="str">
        <f>IF(INDEX('NZS O&amp;G and CA100'!$D$5:$D$193, MATCH($A71, 'NZS O&amp;G and CA100'!$B$5:$B$193, 0)) = "Alignment", INDEX('NZS O&amp;G and CA100'!$E$5:$N$193, MATCH($A71, 'NZS O&amp;G and CA100'!$B$5:$B$193, 0),MATCH(T$4, 'NZS O&amp;G and CA100'!$E$3:$N$3, 0)),"")</f>
        <v/>
      </c>
      <c r="U71" s="56" t="str">
        <f>IF(INDEX('NZS O&amp;G and CA100'!$D$5:$D$193, MATCH($A71, 'NZS O&amp;G and CA100'!$B$5:$B$193, 0)) = "Alignment", INDEX('NZS O&amp;G and CA100'!$E$5:$N$193, MATCH($A71, 'NZS O&amp;G and CA100'!$B$5:$B$193, 0),MATCH(U$4, 'NZS O&amp;G and CA100'!$E$3:$N$3, 0)),"")</f>
        <v/>
      </c>
      <c r="V71" s="56" t="str">
        <f>IF(INDEX('NZS O&amp;G and CA100'!$D$5:$D$193, MATCH($A71, 'NZS O&amp;G and CA100'!$B$5:$B$193, 0)) = "Alignment", INDEX('NZS O&amp;G and CA100'!$E$5:$N$193, MATCH($A71, 'NZS O&amp;G and CA100'!$B$5:$B$193, 0),MATCH(V$4, 'NZS O&amp;G and CA100'!$E$3:$N$3, 0)),"")</f>
        <v/>
      </c>
      <c r="W71" s="56" t="str">
        <f>IF(INDEX('NZS O&amp;G and CA100'!$D$5:$D$193, MATCH($A71, 'NZS O&amp;G and CA100'!$B$5:$B$193, 0)) = "Alignment", INDEX('NZS O&amp;G and CA100'!$E$5:$N$193, MATCH($A71, 'NZS O&amp;G and CA100'!$B$5:$B$193, 0),MATCH(L$3, 'NZS O&amp;G and CA100'!$E$3:$N$3, 0)),"")</f>
        <v/>
      </c>
      <c r="X71" s="57" t="str">
        <f>IF(INDEX('NZS O&amp;G and CA100'!$D$5:$D$193, MATCH($A71, 'NZS O&amp;G and CA100'!$B$5:$B$193, 0)) = "Alignment", INDEX('NZS O&amp;G and CA100'!$E$5:$N$193, MATCH($A71, 'NZS O&amp;G and CA100'!$B$5:$B$193, 0),MATCH(M$3, 'NZS O&amp;G and CA100'!$E$3:$N$3, 0)),"")</f>
        <v/>
      </c>
      <c r="Z71" s="55"/>
      <c r="AA71" s="56"/>
      <c r="AB71" s="56"/>
      <c r="AC71" s="56"/>
      <c r="AD71" s="56"/>
      <c r="AE71" s="56"/>
      <c r="AF71" s="56"/>
      <c r="AG71" s="56"/>
      <c r="AH71" s="56"/>
      <c r="AI71" s="57"/>
      <c r="AK71" s="49"/>
      <c r="AL71" s="49"/>
      <c r="AM71" s="49"/>
      <c r="AN71" s="49"/>
      <c r="AO71" s="49"/>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row>
    <row r="72" spans="1:108" s="1" customFormat="1" ht="20.149999999999999" customHeight="1" outlineLevel="1">
      <c r="A72" s="302">
        <v>5.2</v>
      </c>
      <c r="B72" s="226" t="s">
        <v>314</v>
      </c>
      <c r="C72" s="227" t="str">
        <f>VLOOKUP(A72, 'NZS O&amp;G and CA100'!$B$7:$D$194, 3, FALSE)</f>
        <v/>
      </c>
      <c r="D72" s="310" t="str">
        <f>IF($B$4="Climate Solutions",(AVERAGE(D73,D74,D75,D76,D77,D78,D79,D80,D81)),"")</f>
        <v/>
      </c>
      <c r="E72" s="311" t="str">
        <f t="shared" ref="E72:L72" si="23">IF($B$4="Climate Solutions",(AVERAGE(E73,E74,E75,E76,E77,E78,E79,E80,E81)),"")</f>
        <v/>
      </c>
      <c r="F72" s="311" t="str">
        <f t="shared" si="23"/>
        <v/>
      </c>
      <c r="G72" s="311" t="str">
        <f t="shared" si="23"/>
        <v/>
      </c>
      <c r="H72" s="311" t="str">
        <f t="shared" si="23"/>
        <v/>
      </c>
      <c r="I72" s="311" t="str">
        <f t="shared" si="23"/>
        <v/>
      </c>
      <c r="J72" s="311" t="str">
        <f t="shared" si="23"/>
        <v/>
      </c>
      <c r="K72" s="311" t="str">
        <f t="shared" si="23"/>
        <v/>
      </c>
      <c r="L72" s="311" t="str">
        <f t="shared" si="23"/>
        <v/>
      </c>
      <c r="M72" s="312" t="str">
        <f>IF($B$4="Climate Solutions",(AVERAGE(M73,M74,M75,M76,M77,M78,M79,M80,M81)),"")</f>
        <v/>
      </c>
      <c r="O72" s="55" t="str">
        <f>IF(INDEX('NZS O&amp;G and CA100'!$D$5:$D$193, MATCH($A72, 'NZS O&amp;G and CA100'!$B$5:$B$193, 0)) = "Alignment", INDEX('NZS O&amp;G and CA100'!$E$5:$N$193, MATCH($A72, 'NZS O&amp;G and CA100'!$B$5:$B$193, 0),MATCH(O$4, 'NZS O&amp;G and CA100'!$E$3:$N$3, 0)),"")</f>
        <v/>
      </c>
      <c r="P72" s="56" t="str">
        <f>IF(INDEX('NZS O&amp;G and CA100'!$D$5:$D$193, MATCH($A72, 'NZS O&amp;G and CA100'!$B$5:$B$193, 0)) = "Alignment", INDEX('NZS O&amp;G and CA100'!$E$5:$N$193, MATCH($A72, 'NZS O&amp;G and CA100'!$B$5:$B$193, 0),MATCH(P$4, 'NZS O&amp;G and CA100'!$E$3:$N$3, 0)),"")</f>
        <v/>
      </c>
      <c r="Q72" s="56" t="str">
        <f>IF(INDEX('NZS O&amp;G and CA100'!$D$5:$D$193, MATCH($A72, 'NZS O&amp;G and CA100'!$B$5:$B$193, 0)) = "Alignment", INDEX('NZS O&amp;G and CA100'!$E$5:$N$193, MATCH($A72, 'NZS O&amp;G and CA100'!$B$5:$B$193, 0),MATCH(Q$4, 'NZS O&amp;G and CA100'!$E$3:$N$3, 0)),"")</f>
        <v/>
      </c>
      <c r="R72" s="56" t="str">
        <f>IF(INDEX('NZS O&amp;G and CA100'!$D$5:$D$193, MATCH($A72, 'NZS O&amp;G and CA100'!$B$5:$B$193, 0)) = "Alignment", INDEX('NZS O&amp;G and CA100'!$E$5:$N$193, MATCH($A72, 'NZS O&amp;G and CA100'!$B$5:$B$193, 0),MATCH(R$4, 'NZS O&amp;G and CA100'!$E$3:$N$3, 0)),"")</f>
        <v/>
      </c>
      <c r="S72" s="56" t="str">
        <f>IF(INDEX('NZS O&amp;G and CA100'!$D$5:$D$193, MATCH($A72, 'NZS O&amp;G and CA100'!$B$5:$B$193, 0)) = "Alignment", INDEX('NZS O&amp;G and CA100'!$E$5:$N$193, MATCH($A72, 'NZS O&amp;G and CA100'!$B$5:$B$193, 0),MATCH(S$4, 'NZS O&amp;G and CA100'!$E$3:$N$3, 0)),"")</f>
        <v/>
      </c>
      <c r="T72" s="56" t="str">
        <f>IF(INDEX('NZS O&amp;G and CA100'!$D$5:$D$193, MATCH($A72, 'NZS O&amp;G and CA100'!$B$5:$B$193, 0)) = "Alignment", INDEX('NZS O&amp;G and CA100'!$E$5:$N$193, MATCH($A72, 'NZS O&amp;G and CA100'!$B$5:$B$193, 0),MATCH(T$4, 'NZS O&amp;G and CA100'!$E$3:$N$3, 0)),"")</f>
        <v/>
      </c>
      <c r="U72" s="56" t="str">
        <f>IF(INDEX('NZS O&amp;G and CA100'!$D$5:$D$193, MATCH($A72, 'NZS O&amp;G and CA100'!$B$5:$B$193, 0)) = "Alignment", INDEX('NZS O&amp;G and CA100'!$E$5:$N$193, MATCH($A72, 'NZS O&amp;G and CA100'!$B$5:$B$193, 0),MATCH(U$4, 'NZS O&amp;G and CA100'!$E$3:$N$3, 0)),"")</f>
        <v/>
      </c>
      <c r="V72" s="56" t="str">
        <f>IF(INDEX('NZS O&amp;G and CA100'!$D$5:$D$193, MATCH($A72, 'NZS O&amp;G and CA100'!$B$5:$B$193, 0)) = "Alignment", INDEX('NZS O&amp;G and CA100'!$E$5:$N$193, MATCH($A72, 'NZS O&amp;G and CA100'!$B$5:$B$193, 0),MATCH(V$4, 'NZS O&amp;G and CA100'!$E$3:$N$3, 0)),"")</f>
        <v/>
      </c>
      <c r="W72" s="56" t="str">
        <f>IF(INDEX('NZS O&amp;G and CA100'!$D$5:$D$193, MATCH($A72, 'NZS O&amp;G and CA100'!$B$5:$B$193, 0)) = "Alignment", INDEX('NZS O&amp;G and CA100'!$E$5:$N$193, MATCH($A72, 'NZS O&amp;G and CA100'!$B$5:$B$193, 0),MATCH(L$3, 'NZS O&amp;G and CA100'!$E$3:$N$3, 0)),"")</f>
        <v/>
      </c>
      <c r="X72" s="57" t="str">
        <f>IF(INDEX('NZS O&amp;G and CA100'!$D$5:$D$193, MATCH($A72, 'NZS O&amp;G and CA100'!$B$5:$B$193, 0)) = "Alignment", INDEX('NZS O&amp;G and CA100'!$E$5:$N$193, MATCH($A72, 'NZS O&amp;G and CA100'!$B$5:$B$193, 0),MATCH(M$3, 'NZS O&amp;G and CA100'!$E$3:$N$3, 0)),"")</f>
        <v/>
      </c>
      <c r="Z72" s="55" t="e">
        <f t="shared" ref="Z72:AI72" si="24">SUM(Z73,Z74,Z75,Z76,Z77,Z78,Z79,Z80,Z81)/COUNT(Z73,Z74,Z75,Z76,Z77,Z78,Z79,Z80,Z81)</f>
        <v>#DIV/0!</v>
      </c>
      <c r="AA72" s="56" t="e">
        <f t="shared" si="24"/>
        <v>#DIV/0!</v>
      </c>
      <c r="AB72" s="56" t="e">
        <f t="shared" si="24"/>
        <v>#DIV/0!</v>
      </c>
      <c r="AC72" s="56" t="e">
        <f t="shared" si="24"/>
        <v>#DIV/0!</v>
      </c>
      <c r="AD72" s="56" t="e">
        <f t="shared" si="24"/>
        <v>#DIV/0!</v>
      </c>
      <c r="AE72" s="56" t="e">
        <f t="shared" si="24"/>
        <v>#DIV/0!</v>
      </c>
      <c r="AF72" s="56" t="e">
        <f t="shared" si="24"/>
        <v>#DIV/0!</v>
      </c>
      <c r="AG72" s="56" t="e">
        <f t="shared" si="24"/>
        <v>#DIV/0!</v>
      </c>
      <c r="AH72" s="56" t="e">
        <f t="shared" si="24"/>
        <v>#DIV/0!</v>
      </c>
      <c r="AI72" s="57" t="e">
        <f t="shared" si="24"/>
        <v>#DIV/0!</v>
      </c>
      <c r="AK72" s="49"/>
      <c r="AL72" s="49"/>
      <c r="AM72" s="49"/>
      <c r="AN72" s="49"/>
      <c r="AO72" s="49"/>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row>
    <row r="73" spans="1:108" s="1" customFormat="1" ht="20.149999999999999" customHeight="1" outlineLevel="2">
      <c r="A73" s="302" t="s">
        <v>315</v>
      </c>
      <c r="B73" s="228" t="s">
        <v>125</v>
      </c>
      <c r="C73" s="227" t="str">
        <f>VLOOKUP(A73, 'NZS O&amp;G and CA100'!$B$7:$D$194, 3, FALSE)</f>
        <v>Climate Solutions</v>
      </c>
      <c r="D73" s="310" t="str">
        <f>IF(INDEX('NZS O&amp;G and CA100'!$D$5:$D$193, MATCH($A73, 'NZS O&amp;G and CA100'!$B$5:$B$193, 0)) =$B$4, INDEX('NZS O&amp;G and CA100'!$E$5:$N$193, MATCH($A73, 'NZS O&amp;G and CA100'!$B$5:$B$193, 0),MATCH(D$3, 'NZS O&amp;G and CA100'!$E$3:$N$3, 0)),"")</f>
        <v/>
      </c>
      <c r="E73" s="311" t="str">
        <f>IF(INDEX('NZS O&amp;G and CA100'!$D$5:$D$193, MATCH($A73, 'NZS O&amp;G and CA100'!$B$5:$B$193, 0)) =$B$4, INDEX('NZS O&amp;G and CA100'!$E$5:$N$193, MATCH($A73, 'NZS O&amp;G and CA100'!$B$5:$B$193, 0),MATCH(E$3, 'NZS O&amp;G and CA100'!$E$3:$N$3, 0)),"")</f>
        <v/>
      </c>
      <c r="F73" s="311" t="str">
        <f>IF(INDEX('NZS O&amp;G and CA100'!$D$5:$D$193, MATCH($A73, 'NZS O&amp;G and CA100'!$B$5:$B$193, 0)) =$B$4, INDEX('NZS O&amp;G and CA100'!$E$5:$N$193, MATCH($A73, 'NZS O&amp;G and CA100'!$B$5:$B$193, 0),MATCH(F$3, 'NZS O&amp;G and CA100'!$E$3:$N$3, 0)),"")</f>
        <v/>
      </c>
      <c r="G73" s="311" t="str">
        <f>IF(INDEX('NZS O&amp;G and CA100'!$D$5:$D$193, MATCH($A73, 'NZS O&amp;G and CA100'!$B$5:$B$193, 0)) =$B$4, INDEX('NZS O&amp;G and CA100'!$E$5:$N$193, MATCH($A73, 'NZS O&amp;G and CA100'!$B$5:$B$193, 0),MATCH(G$3, 'NZS O&amp;G and CA100'!$E$3:$N$3, 0)),"")</f>
        <v/>
      </c>
      <c r="H73" s="311" t="str">
        <f>IF(INDEX('NZS O&amp;G and CA100'!$D$5:$D$193, MATCH($A73, 'NZS O&amp;G and CA100'!$B$5:$B$193, 0)) =$B$4, INDEX('NZS O&amp;G and CA100'!$E$5:$N$193, MATCH($A73, 'NZS O&amp;G and CA100'!$B$5:$B$193, 0),MATCH(H$3, 'NZS O&amp;G and CA100'!$E$3:$N$3, 0)),"")</f>
        <v/>
      </c>
      <c r="I73" s="311" t="str">
        <f>IF(INDEX('NZS O&amp;G and CA100'!$D$5:$D$193, MATCH($A73, 'NZS O&amp;G and CA100'!$B$5:$B$193, 0)) =$B$4, INDEX('NZS O&amp;G and CA100'!$E$5:$N$193, MATCH($A73, 'NZS O&amp;G and CA100'!$B$5:$B$193, 0),MATCH(I$3, 'NZS O&amp;G and CA100'!$E$3:$N$3, 0)),"")</f>
        <v/>
      </c>
      <c r="J73" s="311" t="str">
        <f>IF(INDEX('NZS O&amp;G and CA100'!$D$5:$D$193, MATCH($A73, 'NZS O&amp;G and CA100'!$B$5:$B$193, 0)) =$B$4, INDEX('NZS O&amp;G and CA100'!$E$5:$N$193, MATCH($A73, 'NZS O&amp;G and CA100'!$B$5:$B$193, 0),MATCH(J$3, 'NZS O&amp;G and CA100'!$E$3:$N$3, 0)),"")</f>
        <v/>
      </c>
      <c r="K73" s="311" t="str">
        <f>IF(INDEX('NZS O&amp;G and CA100'!$D$5:$D$193, MATCH($A73, 'NZS O&amp;G and CA100'!$B$5:$B$193, 0)) =$B$4, INDEX('NZS O&amp;G and CA100'!$E$5:$N$193, MATCH($A73, 'NZS O&amp;G and CA100'!$B$5:$B$193, 0),MATCH(K$3, 'NZS O&amp;G and CA100'!$E$3:$N$3, 0)),"")</f>
        <v/>
      </c>
      <c r="L73" s="311" t="str">
        <f>IF(INDEX('NZS O&amp;G and CA100'!$D$5:$D$193, MATCH($A73, 'NZS O&amp;G and CA100'!$B$5:$B$193, 0)) =$B$4, INDEX('NZS O&amp;G and CA100'!$E$5:$N$193, MATCH($A73, 'NZS O&amp;G and CA100'!$B$5:$B$193, 0),MATCH(L$3, 'NZS O&amp;G and CA100'!$E$3:$N$3, 0)),"")</f>
        <v/>
      </c>
      <c r="M73" s="312" t="str">
        <f>IF(INDEX('NZS O&amp;G and CA100'!$D$5:$D$193, MATCH($A73, 'NZS O&amp;G and CA100'!$B$5:$B$193, 0)) =$B$4, INDEX('NZS O&amp;G and CA100'!$E$5:$N$193, MATCH($A73, 'NZS O&amp;G and CA100'!$B$5:$B$193, 0),MATCH(M$3, 'NZS O&amp;G and CA100'!$E$3:$N$3, 0)),"")</f>
        <v/>
      </c>
      <c r="O73" s="55" t="str">
        <f>IF(INDEX('NZS O&amp;G and CA100'!$D$5:$D$193, MATCH($A73, 'NZS O&amp;G and CA100'!$B$5:$B$193, 0)) = "Alignment", INDEX('NZS O&amp;G and CA100'!$E$5:$N$193, MATCH($A73, 'NZS O&amp;G and CA100'!$B$5:$B$193, 0),MATCH(O$4, 'NZS O&amp;G and CA100'!$E$3:$N$3, 0)),"")</f>
        <v/>
      </c>
      <c r="P73" s="56" t="str">
        <f>IF(INDEX('NZS O&amp;G and CA100'!$D$5:$D$193, MATCH($A73, 'NZS O&amp;G and CA100'!$B$5:$B$193, 0)) = "Alignment", INDEX('NZS O&amp;G and CA100'!$E$5:$N$193, MATCH($A73, 'NZS O&amp;G and CA100'!$B$5:$B$193, 0),MATCH(P$4, 'NZS O&amp;G and CA100'!$E$3:$N$3, 0)),"")</f>
        <v/>
      </c>
      <c r="Q73" s="56" t="str">
        <f>IF(INDEX('NZS O&amp;G and CA100'!$D$5:$D$193, MATCH($A73, 'NZS O&amp;G and CA100'!$B$5:$B$193, 0)) = "Alignment", INDEX('NZS O&amp;G and CA100'!$E$5:$N$193, MATCH($A73, 'NZS O&amp;G and CA100'!$B$5:$B$193, 0),MATCH(Q$4, 'NZS O&amp;G and CA100'!$E$3:$N$3, 0)),"")</f>
        <v/>
      </c>
      <c r="R73" s="56" t="str">
        <f>IF(INDEX('NZS O&amp;G and CA100'!$D$5:$D$193, MATCH($A73, 'NZS O&amp;G and CA100'!$B$5:$B$193, 0)) = "Alignment", INDEX('NZS O&amp;G and CA100'!$E$5:$N$193, MATCH($A73, 'NZS O&amp;G and CA100'!$B$5:$B$193, 0),MATCH(R$4, 'NZS O&amp;G and CA100'!$E$3:$N$3, 0)),"")</f>
        <v/>
      </c>
      <c r="S73" s="56" t="str">
        <f>IF(INDEX('NZS O&amp;G and CA100'!$D$5:$D$193, MATCH($A73, 'NZS O&amp;G and CA100'!$B$5:$B$193, 0)) = "Alignment", INDEX('NZS O&amp;G and CA100'!$E$5:$N$193, MATCH($A73, 'NZS O&amp;G and CA100'!$B$5:$B$193, 0),MATCH(S$4, 'NZS O&amp;G and CA100'!$E$3:$N$3, 0)),"")</f>
        <v/>
      </c>
      <c r="T73" s="56" t="str">
        <f>IF(INDEX('NZS O&amp;G and CA100'!$D$5:$D$193, MATCH($A73, 'NZS O&amp;G and CA100'!$B$5:$B$193, 0)) = "Alignment", INDEX('NZS O&amp;G and CA100'!$E$5:$N$193, MATCH($A73, 'NZS O&amp;G and CA100'!$B$5:$B$193, 0),MATCH(T$4, 'NZS O&amp;G and CA100'!$E$3:$N$3, 0)),"")</f>
        <v/>
      </c>
      <c r="U73" s="56" t="str">
        <f>IF(INDEX('NZS O&amp;G and CA100'!$D$5:$D$193, MATCH($A73, 'NZS O&amp;G and CA100'!$B$5:$B$193, 0)) = "Alignment", INDEX('NZS O&amp;G and CA100'!$E$5:$N$193, MATCH($A73, 'NZS O&amp;G and CA100'!$B$5:$B$193, 0),MATCH(U$4, 'NZS O&amp;G and CA100'!$E$3:$N$3, 0)),"")</f>
        <v/>
      </c>
      <c r="V73" s="56" t="str">
        <f>IF(INDEX('NZS O&amp;G and CA100'!$D$5:$D$193, MATCH($A73, 'NZS O&amp;G and CA100'!$B$5:$B$193, 0)) = "Alignment", INDEX('NZS O&amp;G and CA100'!$E$5:$N$193, MATCH($A73, 'NZS O&amp;G and CA100'!$B$5:$B$193, 0),MATCH(V$4, 'NZS O&amp;G and CA100'!$E$3:$N$3, 0)),"")</f>
        <v/>
      </c>
      <c r="W73" s="56" t="str">
        <f>IF(INDEX('NZS O&amp;G and CA100'!$D$5:$D$193, MATCH($A73, 'NZS O&amp;G and CA100'!$B$5:$B$193, 0)) = "Alignment", INDEX('NZS O&amp;G and CA100'!$E$5:$N$193, MATCH($A73, 'NZS O&amp;G and CA100'!$B$5:$B$193, 0),MATCH(L$3, 'NZS O&amp;G and CA100'!$E$3:$N$3, 0)),"")</f>
        <v/>
      </c>
      <c r="X73" s="57" t="str">
        <f>IF(INDEX('NZS O&amp;G and CA100'!$D$5:$D$193, MATCH($A73, 'NZS O&amp;G and CA100'!$B$5:$B$193, 0)) = "Alignment", INDEX('NZS O&amp;G and CA100'!$E$5:$N$193, MATCH($A73, 'NZS O&amp;G and CA100'!$B$5:$B$193, 0),MATCH(M$3, 'NZS O&amp;G and CA100'!$E$3:$N$3, 0)),"")</f>
        <v/>
      </c>
      <c r="Z73" s="55" t="str">
        <f>IF(INDEX('NZS O&amp;G and CA100'!$D$5:$D$193, MATCH($A73, 'NZS O&amp;G and CA100'!$B$5:$B$193, 0)) = "Solutions", INDEX('NZS O&amp;G and CA100'!$E$5:$N$193, MATCH($A73, 'NZS O&amp;G and CA100'!$B$5:$B$193, 0),MATCH(Z$4, 'NZS O&amp;G and CA100'!$E$3:$N$3, 0)),"")</f>
        <v/>
      </c>
      <c r="AA73" s="56" t="str">
        <f>IF(INDEX('NZS O&amp;G and CA100'!$D$5:$D$193, MATCH($A73, 'NZS O&amp;G and CA100'!$B$5:$B$193, 0)) = "Solutions", INDEX('NZS O&amp;G and CA100'!$E$5:$N$193, MATCH($A73, 'NZS O&amp;G and CA100'!$B$5:$B$193, 0),MATCH(AA$4, 'NZS O&amp;G and CA100'!$E$3:$N$3, 0)),"")</f>
        <v/>
      </c>
      <c r="AB73" s="56" t="str">
        <f>IF(INDEX('NZS O&amp;G and CA100'!$D$5:$D$193, MATCH($A73, 'NZS O&amp;G and CA100'!$B$5:$B$193, 0)) = "Solutions", INDEX('NZS O&amp;G and CA100'!$E$5:$N$193, MATCH($A73, 'NZS O&amp;G and CA100'!$B$5:$B$193, 0),MATCH(AB$4, 'NZS O&amp;G and CA100'!$E$3:$N$3, 0)),"")</f>
        <v/>
      </c>
      <c r="AC73" s="56" t="str">
        <f>IF(INDEX('NZS O&amp;G and CA100'!$D$5:$D$193, MATCH($A73, 'NZS O&amp;G and CA100'!$B$5:$B$193, 0)) = "Solutions", INDEX('NZS O&amp;G and CA100'!$E$5:$N$193, MATCH($A73, 'NZS O&amp;G and CA100'!$B$5:$B$193, 0),MATCH(AC$4, 'NZS O&amp;G and CA100'!$E$3:$N$3, 0)),"")</f>
        <v/>
      </c>
      <c r="AD73" s="56" t="str">
        <f>IF(INDEX('NZS O&amp;G and CA100'!$D$5:$D$193, MATCH($A73, 'NZS O&amp;G and CA100'!$B$5:$B$193, 0)) = "Solutions", INDEX('NZS O&amp;G and CA100'!$E$5:$N$193, MATCH($A73, 'NZS O&amp;G and CA100'!$B$5:$B$193, 0),MATCH(AD$4, 'NZS O&amp;G and CA100'!$E$3:$N$3, 0)),"")</f>
        <v/>
      </c>
      <c r="AE73" s="56" t="str">
        <f>IF(INDEX('NZS O&amp;G and CA100'!$D$5:$D$193, MATCH($A73, 'NZS O&amp;G and CA100'!$B$5:$B$193, 0)) = "Solutions", INDEX('NZS O&amp;G and CA100'!$E$5:$N$193, MATCH($A73, 'NZS O&amp;G and CA100'!$B$5:$B$193, 0),MATCH(AE$4, 'NZS O&amp;G and CA100'!$E$3:$N$3, 0)),"")</f>
        <v/>
      </c>
      <c r="AF73" s="56" t="str">
        <f>IF(INDEX('NZS O&amp;G and CA100'!$D$5:$D$193, MATCH($A73, 'NZS O&amp;G and CA100'!$B$5:$B$193, 0)) = "Solutions", INDEX('NZS O&amp;G and CA100'!$E$5:$N$193, MATCH($A73, 'NZS O&amp;G and CA100'!$B$5:$B$193, 0),MATCH(AF$4, 'NZS O&amp;G and CA100'!$E$3:$N$3, 0)),"")</f>
        <v/>
      </c>
      <c r="AG73" s="56" t="str">
        <f>IF(INDEX('NZS O&amp;G and CA100'!$D$5:$D$193, MATCH($A73, 'NZS O&amp;G and CA100'!$B$5:$B$193, 0)) = "Solutions", INDEX('NZS O&amp;G and CA100'!$E$5:$N$193, MATCH($A73, 'NZS O&amp;G and CA100'!$B$5:$B$193, 0),MATCH(AG$4, 'NZS O&amp;G and CA100'!$E$3:$N$3, 0)),"")</f>
        <v/>
      </c>
      <c r="AH73" s="56" t="str">
        <f>IF(INDEX('NZS O&amp;G and CA100'!$D$5:$D$193, MATCH($A73, 'NZS O&amp;G and CA100'!$B$5:$B$193, 0)) = "Solutions", INDEX('NZS O&amp;G and CA100'!$E$5:$N$193, MATCH($A73, 'NZS O&amp;G and CA100'!$B$5:$B$193, 0),MATCH(AH$4, 'NZS O&amp;G and CA100'!$E$3:$N$3, 0)),"")</f>
        <v/>
      </c>
      <c r="AI73" s="57" t="str">
        <f>IF(INDEX('NZS O&amp;G and CA100'!$D$5:$D$193, MATCH($A73, 'NZS O&amp;G and CA100'!$B$5:$B$193, 0)) = "Solutions", INDEX('NZS O&amp;G and CA100'!$E$5:$N$193, MATCH($A73, 'NZS O&amp;G and CA100'!$B$5:$B$193, 0),MATCH(AI$4, 'NZS O&amp;G and CA100'!$E$3:$N$3, 0)),"")</f>
        <v/>
      </c>
      <c r="AK73" s="49"/>
      <c r="AL73" s="49"/>
      <c r="AM73" s="49"/>
      <c r="AN73" s="49"/>
      <c r="AO73" s="49"/>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row>
    <row r="74" spans="1:108" s="1" customFormat="1" ht="20.149999999999999" customHeight="1" outlineLevel="2">
      <c r="A74" s="302" t="s">
        <v>316</v>
      </c>
      <c r="B74" s="228" t="s">
        <v>126</v>
      </c>
      <c r="C74" s="227" t="str">
        <f>VLOOKUP(A74, 'NZS O&amp;G and CA100'!$B$7:$D$194, 3, FALSE)</f>
        <v>Climate Solutions</v>
      </c>
      <c r="D74" s="310" t="str">
        <f>IF(INDEX('NZS O&amp;G and CA100'!$D$5:$D$193, MATCH($A74, 'NZS O&amp;G and CA100'!$B$5:$B$193, 0)) =$B$4, INDEX('NZS O&amp;G and CA100'!$E$5:$N$193, MATCH($A74, 'NZS O&amp;G and CA100'!$B$5:$B$193, 0),MATCH(D$3, 'NZS O&amp;G and CA100'!$E$3:$N$3, 0)),"")</f>
        <v/>
      </c>
      <c r="E74" s="311" t="str">
        <f>IF(INDEX('NZS O&amp;G and CA100'!$D$5:$D$193, MATCH($A74, 'NZS O&amp;G and CA100'!$B$5:$B$193, 0)) =$B$4, INDEX('NZS O&amp;G and CA100'!$E$5:$N$193, MATCH($A74, 'NZS O&amp;G and CA100'!$B$5:$B$193, 0),MATCH(E$3, 'NZS O&amp;G and CA100'!$E$3:$N$3, 0)),"")</f>
        <v/>
      </c>
      <c r="F74" s="311" t="str">
        <f>IF(INDEX('NZS O&amp;G and CA100'!$D$5:$D$193, MATCH($A74, 'NZS O&amp;G and CA100'!$B$5:$B$193, 0)) =$B$4, INDEX('NZS O&amp;G and CA100'!$E$5:$N$193, MATCH($A74, 'NZS O&amp;G and CA100'!$B$5:$B$193, 0),MATCH(F$3, 'NZS O&amp;G and CA100'!$E$3:$N$3, 0)),"")</f>
        <v/>
      </c>
      <c r="G74" s="311" t="str">
        <f>IF(INDEX('NZS O&amp;G and CA100'!$D$5:$D$193, MATCH($A74, 'NZS O&amp;G and CA100'!$B$5:$B$193, 0)) =$B$4, INDEX('NZS O&amp;G and CA100'!$E$5:$N$193, MATCH($A74, 'NZS O&amp;G and CA100'!$B$5:$B$193, 0),MATCH(G$3, 'NZS O&amp;G and CA100'!$E$3:$N$3, 0)),"")</f>
        <v/>
      </c>
      <c r="H74" s="311" t="str">
        <f>IF(INDEX('NZS O&amp;G and CA100'!$D$5:$D$193, MATCH($A74, 'NZS O&amp;G and CA100'!$B$5:$B$193, 0)) =$B$4, INDEX('NZS O&amp;G and CA100'!$E$5:$N$193, MATCH($A74, 'NZS O&amp;G and CA100'!$B$5:$B$193, 0),MATCH(H$3, 'NZS O&amp;G and CA100'!$E$3:$N$3, 0)),"")</f>
        <v/>
      </c>
      <c r="I74" s="311" t="str">
        <f>IF(INDEX('NZS O&amp;G and CA100'!$D$5:$D$193, MATCH($A74, 'NZS O&amp;G and CA100'!$B$5:$B$193, 0)) =$B$4, INDEX('NZS O&amp;G and CA100'!$E$5:$N$193, MATCH($A74, 'NZS O&amp;G and CA100'!$B$5:$B$193, 0),MATCH(I$3, 'NZS O&amp;G and CA100'!$E$3:$N$3, 0)),"")</f>
        <v/>
      </c>
      <c r="J74" s="311" t="str">
        <f>IF(INDEX('NZS O&amp;G and CA100'!$D$5:$D$193, MATCH($A74, 'NZS O&amp;G and CA100'!$B$5:$B$193, 0)) =$B$4, INDEX('NZS O&amp;G and CA100'!$E$5:$N$193, MATCH($A74, 'NZS O&amp;G and CA100'!$B$5:$B$193, 0),MATCH(J$3, 'NZS O&amp;G and CA100'!$E$3:$N$3, 0)),"")</f>
        <v/>
      </c>
      <c r="K74" s="311" t="str">
        <f>IF(INDEX('NZS O&amp;G and CA100'!$D$5:$D$193, MATCH($A74, 'NZS O&amp;G and CA100'!$B$5:$B$193, 0)) =$B$4, INDEX('NZS O&amp;G and CA100'!$E$5:$N$193, MATCH($A74, 'NZS O&amp;G and CA100'!$B$5:$B$193, 0),MATCH(K$3, 'NZS O&amp;G and CA100'!$E$3:$N$3, 0)),"")</f>
        <v/>
      </c>
      <c r="L74" s="311" t="str">
        <f>IF(INDEX('NZS O&amp;G and CA100'!$D$5:$D$193, MATCH($A74, 'NZS O&amp;G and CA100'!$B$5:$B$193, 0)) =$B$4, INDEX('NZS O&amp;G and CA100'!$E$5:$N$193, MATCH($A74, 'NZS O&amp;G and CA100'!$B$5:$B$193, 0),MATCH(L$3, 'NZS O&amp;G and CA100'!$E$3:$N$3, 0)),"")</f>
        <v/>
      </c>
      <c r="M74" s="312" t="str">
        <f>IF(INDEX('NZS O&amp;G and CA100'!$D$5:$D$193, MATCH($A74, 'NZS O&amp;G and CA100'!$B$5:$B$193, 0)) =$B$4, INDEX('NZS O&amp;G and CA100'!$E$5:$N$193, MATCH($A74, 'NZS O&amp;G and CA100'!$B$5:$B$193, 0),MATCH(M$3, 'NZS O&amp;G and CA100'!$E$3:$N$3, 0)),"")</f>
        <v/>
      </c>
      <c r="O74" s="55" t="str">
        <f>IF(INDEX('NZS O&amp;G and CA100'!$D$5:$D$193, MATCH($A74, 'NZS O&amp;G and CA100'!$B$5:$B$193, 0)) = "Alignment", INDEX('NZS O&amp;G and CA100'!$E$5:$N$193, MATCH($A74, 'NZS O&amp;G and CA100'!$B$5:$B$193, 0),MATCH(O$4, 'NZS O&amp;G and CA100'!$E$3:$N$3, 0)),"")</f>
        <v/>
      </c>
      <c r="P74" s="56" t="str">
        <f>IF(INDEX('NZS O&amp;G and CA100'!$D$5:$D$193, MATCH($A74, 'NZS O&amp;G and CA100'!$B$5:$B$193, 0)) = "Alignment", INDEX('NZS O&amp;G and CA100'!$E$5:$N$193, MATCH($A74, 'NZS O&amp;G and CA100'!$B$5:$B$193, 0),MATCH(P$4, 'NZS O&amp;G and CA100'!$E$3:$N$3, 0)),"")</f>
        <v/>
      </c>
      <c r="Q74" s="56" t="str">
        <f>IF(INDEX('NZS O&amp;G and CA100'!$D$5:$D$193, MATCH($A74, 'NZS O&amp;G and CA100'!$B$5:$B$193, 0)) = "Alignment", INDEX('NZS O&amp;G and CA100'!$E$5:$N$193, MATCH($A74, 'NZS O&amp;G and CA100'!$B$5:$B$193, 0),MATCH(Q$4, 'NZS O&amp;G and CA100'!$E$3:$N$3, 0)),"")</f>
        <v/>
      </c>
      <c r="R74" s="56" t="str">
        <f>IF(INDEX('NZS O&amp;G and CA100'!$D$5:$D$193, MATCH($A74, 'NZS O&amp;G and CA100'!$B$5:$B$193, 0)) = "Alignment", INDEX('NZS O&amp;G and CA100'!$E$5:$N$193, MATCH($A74, 'NZS O&amp;G and CA100'!$B$5:$B$193, 0),MATCH(R$4, 'NZS O&amp;G and CA100'!$E$3:$N$3, 0)),"")</f>
        <v/>
      </c>
      <c r="S74" s="56" t="str">
        <f>IF(INDEX('NZS O&amp;G and CA100'!$D$5:$D$193, MATCH($A74, 'NZS O&amp;G and CA100'!$B$5:$B$193, 0)) = "Alignment", INDEX('NZS O&amp;G and CA100'!$E$5:$N$193, MATCH($A74, 'NZS O&amp;G and CA100'!$B$5:$B$193, 0),MATCH(S$4, 'NZS O&amp;G and CA100'!$E$3:$N$3, 0)),"")</f>
        <v/>
      </c>
      <c r="T74" s="56" t="str">
        <f>IF(INDEX('NZS O&amp;G and CA100'!$D$5:$D$193, MATCH($A74, 'NZS O&amp;G and CA100'!$B$5:$B$193, 0)) = "Alignment", INDEX('NZS O&amp;G and CA100'!$E$5:$N$193, MATCH($A74, 'NZS O&amp;G and CA100'!$B$5:$B$193, 0),MATCH(T$4, 'NZS O&amp;G and CA100'!$E$3:$N$3, 0)),"")</f>
        <v/>
      </c>
      <c r="U74" s="56" t="str">
        <f>IF(INDEX('NZS O&amp;G and CA100'!$D$5:$D$193, MATCH($A74, 'NZS O&amp;G and CA100'!$B$5:$B$193, 0)) = "Alignment", INDEX('NZS O&amp;G and CA100'!$E$5:$N$193, MATCH($A74, 'NZS O&amp;G and CA100'!$B$5:$B$193, 0),MATCH(U$4, 'NZS O&amp;G and CA100'!$E$3:$N$3, 0)),"")</f>
        <v/>
      </c>
      <c r="V74" s="56" t="str">
        <f>IF(INDEX('NZS O&amp;G and CA100'!$D$5:$D$193, MATCH($A74, 'NZS O&amp;G and CA100'!$B$5:$B$193, 0)) = "Alignment", INDEX('NZS O&amp;G and CA100'!$E$5:$N$193, MATCH($A74, 'NZS O&amp;G and CA100'!$B$5:$B$193, 0),MATCH(V$4, 'NZS O&amp;G and CA100'!$E$3:$N$3, 0)),"")</f>
        <v/>
      </c>
      <c r="W74" s="56" t="str">
        <f>IF(INDEX('NZS O&amp;G and CA100'!$D$5:$D$193, MATCH($A74, 'NZS O&amp;G and CA100'!$B$5:$B$193, 0)) = "Alignment", INDEX('NZS O&amp;G and CA100'!$E$5:$N$193, MATCH($A74, 'NZS O&amp;G and CA100'!$B$5:$B$193, 0),MATCH(L$3, 'NZS O&amp;G and CA100'!$E$3:$N$3, 0)),"")</f>
        <v/>
      </c>
      <c r="X74" s="57" t="str">
        <f>IF(INDEX('NZS O&amp;G and CA100'!$D$5:$D$193, MATCH($A74, 'NZS O&amp;G and CA100'!$B$5:$B$193, 0)) = "Alignment", INDEX('NZS O&amp;G and CA100'!$E$5:$N$193, MATCH($A74, 'NZS O&amp;G and CA100'!$B$5:$B$193, 0),MATCH(M$3, 'NZS O&amp;G and CA100'!$E$3:$N$3, 0)),"")</f>
        <v/>
      </c>
      <c r="Z74" s="55" t="str">
        <f>IF(INDEX('NZS O&amp;G and CA100'!$D$5:$D$193, MATCH($A74, 'NZS O&amp;G and CA100'!$B$5:$B$193, 0)) = "Solutions", INDEX('NZS O&amp;G and CA100'!$E$5:$N$193, MATCH($A74, 'NZS O&amp;G and CA100'!$B$5:$B$193, 0),MATCH(Z$4, 'NZS O&amp;G and CA100'!$E$3:$N$3, 0)),"")</f>
        <v/>
      </c>
      <c r="AA74" s="56" t="str">
        <f>IF(INDEX('NZS O&amp;G and CA100'!$D$5:$D$193, MATCH($A74, 'NZS O&amp;G and CA100'!$B$5:$B$193, 0)) = "Solutions", INDEX('NZS O&amp;G and CA100'!$E$5:$N$193, MATCH($A74, 'NZS O&amp;G and CA100'!$B$5:$B$193, 0),MATCH(AA$4, 'NZS O&amp;G and CA100'!$E$3:$N$3, 0)),"")</f>
        <v/>
      </c>
      <c r="AB74" s="56" t="str">
        <f>IF(INDEX('NZS O&amp;G and CA100'!$D$5:$D$193, MATCH($A74, 'NZS O&amp;G and CA100'!$B$5:$B$193, 0)) = "Solutions", INDEX('NZS O&amp;G and CA100'!$E$5:$N$193, MATCH($A74, 'NZS O&amp;G and CA100'!$B$5:$B$193, 0),MATCH(AB$4, 'NZS O&amp;G and CA100'!$E$3:$N$3, 0)),"")</f>
        <v/>
      </c>
      <c r="AC74" s="56" t="str">
        <f>IF(INDEX('NZS O&amp;G and CA100'!$D$5:$D$193, MATCH($A74, 'NZS O&amp;G and CA100'!$B$5:$B$193, 0)) = "Solutions", INDEX('NZS O&amp;G and CA100'!$E$5:$N$193, MATCH($A74, 'NZS O&amp;G and CA100'!$B$5:$B$193, 0),MATCH(AC$4, 'NZS O&amp;G and CA100'!$E$3:$N$3, 0)),"")</f>
        <v/>
      </c>
      <c r="AD74" s="56" t="str">
        <f>IF(INDEX('NZS O&amp;G and CA100'!$D$5:$D$193, MATCH($A74, 'NZS O&amp;G and CA100'!$B$5:$B$193, 0)) = "Solutions", INDEX('NZS O&amp;G and CA100'!$E$5:$N$193, MATCH($A74, 'NZS O&amp;G and CA100'!$B$5:$B$193, 0),MATCH(AD$4, 'NZS O&amp;G and CA100'!$E$3:$N$3, 0)),"")</f>
        <v/>
      </c>
      <c r="AE74" s="56" t="str">
        <f>IF(INDEX('NZS O&amp;G and CA100'!$D$5:$D$193, MATCH($A74, 'NZS O&amp;G and CA100'!$B$5:$B$193, 0)) = "Solutions", INDEX('NZS O&amp;G and CA100'!$E$5:$N$193, MATCH($A74, 'NZS O&amp;G and CA100'!$B$5:$B$193, 0),MATCH(AE$4, 'NZS O&amp;G and CA100'!$E$3:$N$3, 0)),"")</f>
        <v/>
      </c>
      <c r="AF74" s="56" t="str">
        <f>IF(INDEX('NZS O&amp;G and CA100'!$D$5:$D$193, MATCH($A74, 'NZS O&amp;G and CA100'!$B$5:$B$193, 0)) = "Solutions", INDEX('NZS O&amp;G and CA100'!$E$5:$N$193, MATCH($A74, 'NZS O&amp;G and CA100'!$B$5:$B$193, 0),MATCH(AF$4, 'NZS O&amp;G and CA100'!$E$3:$N$3, 0)),"")</f>
        <v/>
      </c>
      <c r="AG74" s="56" t="str">
        <f>IF(INDEX('NZS O&amp;G and CA100'!$D$5:$D$193, MATCH($A74, 'NZS O&amp;G and CA100'!$B$5:$B$193, 0)) = "Solutions", INDEX('NZS O&amp;G and CA100'!$E$5:$N$193, MATCH($A74, 'NZS O&amp;G and CA100'!$B$5:$B$193, 0),MATCH(AG$4, 'NZS O&amp;G and CA100'!$E$3:$N$3, 0)),"")</f>
        <v/>
      </c>
      <c r="AH74" s="56" t="str">
        <f>IF(INDEX('NZS O&amp;G and CA100'!$D$5:$D$193, MATCH($A74, 'NZS O&amp;G and CA100'!$B$5:$B$193, 0)) = "Solutions", INDEX('NZS O&amp;G and CA100'!$E$5:$N$193, MATCH($A74, 'NZS O&amp;G and CA100'!$B$5:$B$193, 0),MATCH(AH$4, 'NZS O&amp;G and CA100'!$E$3:$N$3, 0)),"")</f>
        <v/>
      </c>
      <c r="AI74" s="57" t="str">
        <f>IF(INDEX('NZS O&amp;G and CA100'!$D$5:$D$193, MATCH($A74, 'NZS O&amp;G and CA100'!$B$5:$B$193, 0)) = "Solutions", INDEX('NZS O&amp;G and CA100'!$E$5:$N$193, MATCH($A74, 'NZS O&amp;G and CA100'!$B$5:$B$193, 0),MATCH(AI$4, 'NZS O&amp;G and CA100'!$E$3:$N$3, 0)),"")</f>
        <v/>
      </c>
      <c r="AK74" s="49"/>
      <c r="AL74" s="49"/>
      <c r="AM74" s="49"/>
      <c r="AN74" s="49"/>
      <c r="AO74" s="49"/>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row>
    <row r="75" spans="1:108" s="1" customFormat="1" ht="20.149999999999999" customHeight="1" outlineLevel="2">
      <c r="A75" s="302" t="s">
        <v>317</v>
      </c>
      <c r="B75" s="235" t="s">
        <v>127</v>
      </c>
      <c r="C75" s="236" t="str">
        <f>VLOOKUP(A75, 'NZS O&amp;G and CA100'!$B$7:$D$194, 3, FALSE)</f>
        <v>Climate Solutions</v>
      </c>
      <c r="D75" s="310" t="str">
        <f>IF(INDEX('NZS O&amp;G and CA100'!$D$5:$D$193, MATCH($A75, 'NZS O&amp;G and CA100'!$B$5:$B$193, 0)) =$B$4, INDEX('NZS O&amp;G and CA100'!$E$5:$N$193, MATCH($A75, 'NZS O&amp;G and CA100'!$B$5:$B$193, 0),MATCH(D$3, 'NZS O&amp;G and CA100'!$E$3:$N$3, 0)),"")</f>
        <v/>
      </c>
      <c r="E75" s="311" t="str">
        <f>IF(INDEX('NZS O&amp;G and CA100'!$D$5:$D$193, MATCH($A75, 'NZS O&amp;G and CA100'!$B$5:$B$193, 0)) =$B$4, INDEX('NZS O&amp;G and CA100'!$E$5:$N$193, MATCH($A75, 'NZS O&amp;G and CA100'!$B$5:$B$193, 0),MATCH(E$3, 'NZS O&amp;G and CA100'!$E$3:$N$3, 0)),"")</f>
        <v/>
      </c>
      <c r="F75" s="311" t="str">
        <f>IF(INDEX('NZS O&amp;G and CA100'!$D$5:$D$193, MATCH($A75, 'NZS O&amp;G and CA100'!$B$5:$B$193, 0)) =$B$4, INDEX('NZS O&amp;G and CA100'!$E$5:$N$193, MATCH($A75, 'NZS O&amp;G and CA100'!$B$5:$B$193, 0),MATCH(F$3, 'NZS O&amp;G and CA100'!$E$3:$N$3, 0)),"")</f>
        <v/>
      </c>
      <c r="G75" s="311" t="str">
        <f>IF(INDEX('NZS O&amp;G and CA100'!$D$5:$D$193, MATCH($A75, 'NZS O&amp;G and CA100'!$B$5:$B$193, 0)) =$B$4, INDEX('NZS O&amp;G and CA100'!$E$5:$N$193, MATCH($A75, 'NZS O&amp;G and CA100'!$B$5:$B$193, 0),MATCH(G$3, 'NZS O&amp;G and CA100'!$E$3:$N$3, 0)),"")</f>
        <v/>
      </c>
      <c r="H75" s="311" t="str">
        <f>IF(INDEX('NZS O&amp;G and CA100'!$D$5:$D$193, MATCH($A75, 'NZS O&amp;G and CA100'!$B$5:$B$193, 0)) =$B$4, INDEX('NZS O&amp;G and CA100'!$E$5:$N$193, MATCH($A75, 'NZS O&amp;G and CA100'!$B$5:$B$193, 0),MATCH(H$3, 'NZS O&amp;G and CA100'!$E$3:$N$3, 0)),"")</f>
        <v/>
      </c>
      <c r="I75" s="311" t="str">
        <f>IF(INDEX('NZS O&amp;G and CA100'!$D$5:$D$193, MATCH($A75, 'NZS O&amp;G and CA100'!$B$5:$B$193, 0)) =$B$4, INDEX('NZS O&amp;G and CA100'!$E$5:$N$193, MATCH($A75, 'NZS O&amp;G and CA100'!$B$5:$B$193, 0),MATCH(I$3, 'NZS O&amp;G and CA100'!$E$3:$N$3, 0)),"")</f>
        <v/>
      </c>
      <c r="J75" s="311" t="str">
        <f>IF(INDEX('NZS O&amp;G and CA100'!$D$5:$D$193, MATCH($A75, 'NZS O&amp;G and CA100'!$B$5:$B$193, 0)) =$B$4, INDEX('NZS O&amp;G and CA100'!$E$5:$N$193, MATCH($A75, 'NZS O&amp;G and CA100'!$B$5:$B$193, 0),MATCH(J$3, 'NZS O&amp;G and CA100'!$E$3:$N$3, 0)),"")</f>
        <v/>
      </c>
      <c r="K75" s="311" t="str">
        <f>IF(INDEX('NZS O&amp;G and CA100'!$D$5:$D$193, MATCH($A75, 'NZS O&amp;G and CA100'!$B$5:$B$193, 0)) =$B$4, INDEX('NZS O&amp;G and CA100'!$E$5:$N$193, MATCH($A75, 'NZS O&amp;G and CA100'!$B$5:$B$193, 0),MATCH(K$3, 'NZS O&amp;G and CA100'!$E$3:$N$3, 0)),"")</f>
        <v/>
      </c>
      <c r="L75" s="311" t="str">
        <f>IF(INDEX('NZS O&amp;G and CA100'!$D$5:$D$193, MATCH($A75, 'NZS O&amp;G and CA100'!$B$5:$B$193, 0)) =$B$4, INDEX('NZS O&amp;G and CA100'!$E$5:$N$193, MATCH($A75, 'NZS O&amp;G and CA100'!$B$5:$B$193, 0),MATCH(L$3, 'NZS O&amp;G and CA100'!$E$3:$N$3, 0)),"")</f>
        <v/>
      </c>
      <c r="M75" s="312" t="str">
        <f>IF(INDEX('NZS O&amp;G and CA100'!$D$5:$D$193, MATCH($A75, 'NZS O&amp;G and CA100'!$B$5:$B$193, 0)) =$B$4, INDEX('NZS O&amp;G and CA100'!$E$5:$N$193, MATCH($A75, 'NZS O&amp;G and CA100'!$B$5:$B$193, 0),MATCH(M$3, 'NZS O&amp;G and CA100'!$E$3:$N$3, 0)),"")</f>
        <v/>
      </c>
      <c r="O75" s="55"/>
      <c r="P75" s="56"/>
      <c r="Q75" s="56"/>
      <c r="R75" s="56"/>
      <c r="S75" s="56"/>
      <c r="T75" s="56"/>
      <c r="U75" s="56"/>
      <c r="V75" s="56"/>
      <c r="W75" s="56"/>
      <c r="X75" s="57"/>
      <c r="Z75" s="55" t="str">
        <f>IF(INDEX('NZS O&amp;G and CA100'!$D$5:$D$193, MATCH($A75, 'NZS O&amp;G and CA100'!$B$5:$B$193, 0)) = "Solutions", INDEX('NZS O&amp;G and CA100'!$E$5:$N$193, MATCH($A75, 'NZS O&amp;G and CA100'!$B$5:$B$193, 0),MATCH(Z$4, 'NZS O&amp;G and CA100'!$E$3:$N$3, 0)),"")</f>
        <v/>
      </c>
      <c r="AA75" s="56" t="str">
        <f>IF(INDEX('NZS O&amp;G and CA100'!$D$5:$D$193, MATCH($A75, 'NZS O&amp;G and CA100'!$B$5:$B$193, 0)) = "Solutions", INDEX('NZS O&amp;G and CA100'!$E$5:$N$193, MATCH($A75, 'NZS O&amp;G and CA100'!$B$5:$B$193, 0),MATCH(AA$4, 'NZS O&amp;G and CA100'!$E$3:$N$3, 0)),"")</f>
        <v/>
      </c>
      <c r="AB75" s="56" t="str">
        <f>IF(INDEX('NZS O&amp;G and CA100'!$D$5:$D$193, MATCH($A75, 'NZS O&amp;G and CA100'!$B$5:$B$193, 0)) = "Solutions", INDEX('NZS O&amp;G and CA100'!$E$5:$N$193, MATCH($A75, 'NZS O&amp;G and CA100'!$B$5:$B$193, 0),MATCH(AB$4, 'NZS O&amp;G and CA100'!$E$3:$N$3, 0)),"")</f>
        <v/>
      </c>
      <c r="AC75" s="56" t="str">
        <f>IF(INDEX('NZS O&amp;G and CA100'!$D$5:$D$193, MATCH($A75, 'NZS O&amp;G and CA100'!$B$5:$B$193, 0)) = "Solutions", INDEX('NZS O&amp;G and CA100'!$E$5:$N$193, MATCH($A75, 'NZS O&amp;G and CA100'!$B$5:$B$193, 0),MATCH(AC$4, 'NZS O&amp;G and CA100'!$E$3:$N$3, 0)),"")</f>
        <v/>
      </c>
      <c r="AD75" s="56" t="str">
        <f>IF(INDEX('NZS O&amp;G and CA100'!$D$5:$D$193, MATCH($A75, 'NZS O&amp;G and CA100'!$B$5:$B$193, 0)) = "Solutions", INDEX('NZS O&amp;G and CA100'!$E$5:$N$193, MATCH($A75, 'NZS O&amp;G and CA100'!$B$5:$B$193, 0),MATCH(AD$4, 'NZS O&amp;G and CA100'!$E$3:$N$3, 0)),"")</f>
        <v/>
      </c>
      <c r="AE75" s="56" t="str">
        <f>IF(INDEX('NZS O&amp;G and CA100'!$D$5:$D$193, MATCH($A75, 'NZS O&amp;G and CA100'!$B$5:$B$193, 0)) = "Solutions", INDEX('NZS O&amp;G and CA100'!$E$5:$N$193, MATCH($A75, 'NZS O&amp;G and CA100'!$B$5:$B$193, 0),MATCH(AE$4, 'NZS O&amp;G and CA100'!$E$3:$N$3, 0)),"")</f>
        <v/>
      </c>
      <c r="AF75" s="56" t="str">
        <f>IF(INDEX('NZS O&amp;G and CA100'!$D$5:$D$193, MATCH($A75, 'NZS O&amp;G and CA100'!$B$5:$B$193, 0)) = "Solutions", INDEX('NZS O&amp;G and CA100'!$E$5:$N$193, MATCH($A75, 'NZS O&amp;G and CA100'!$B$5:$B$193, 0),MATCH(AF$4, 'NZS O&amp;G and CA100'!$E$3:$N$3, 0)),"")</f>
        <v/>
      </c>
      <c r="AG75" s="56" t="str">
        <f>IF(INDEX('NZS O&amp;G and CA100'!$D$5:$D$193, MATCH($A75, 'NZS O&amp;G and CA100'!$B$5:$B$193, 0)) = "Solutions", INDEX('NZS O&amp;G and CA100'!$E$5:$N$193, MATCH($A75, 'NZS O&amp;G and CA100'!$B$5:$B$193, 0),MATCH(AG$4, 'NZS O&amp;G and CA100'!$E$3:$N$3, 0)),"")</f>
        <v/>
      </c>
      <c r="AH75" s="56" t="str">
        <f>IF(INDEX('NZS O&amp;G and CA100'!$D$5:$D$193, MATCH($A75, 'NZS O&amp;G and CA100'!$B$5:$B$193, 0)) = "Solutions", INDEX('NZS O&amp;G and CA100'!$E$5:$N$193, MATCH($A75, 'NZS O&amp;G and CA100'!$B$5:$B$193, 0),MATCH(AH$4, 'NZS O&amp;G and CA100'!$E$3:$N$3, 0)),"")</f>
        <v/>
      </c>
      <c r="AI75" s="57" t="str">
        <f>IF(INDEX('NZS O&amp;G and CA100'!$D$5:$D$193, MATCH($A75, 'NZS O&amp;G and CA100'!$B$5:$B$193, 0)) = "Solutions", INDEX('NZS O&amp;G and CA100'!$E$5:$N$193, MATCH($A75, 'NZS O&amp;G and CA100'!$B$5:$B$193, 0),MATCH(AI$4, 'NZS O&amp;G and CA100'!$E$3:$N$3, 0)),"")</f>
        <v/>
      </c>
      <c r="AK75" s="49"/>
      <c r="AL75" s="49"/>
      <c r="AM75" s="49"/>
      <c r="AN75" s="49"/>
      <c r="AO75" s="49"/>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CQ75" s="50"/>
      <c r="CR75" s="50"/>
      <c r="CS75" s="50"/>
      <c r="CT75" s="50"/>
      <c r="CU75" s="50"/>
      <c r="CV75" s="50"/>
      <c r="CW75" s="50"/>
      <c r="CX75" s="50"/>
      <c r="CY75" s="50"/>
      <c r="CZ75" s="50"/>
      <c r="DA75" s="50"/>
      <c r="DB75" s="50"/>
      <c r="DC75" s="50"/>
      <c r="DD75" s="50"/>
    </row>
    <row r="76" spans="1:108" s="1" customFormat="1" ht="20.149999999999999" customHeight="1" outlineLevel="2">
      <c r="A76" s="302" t="s">
        <v>318</v>
      </c>
      <c r="B76" s="235" t="s">
        <v>128</v>
      </c>
      <c r="C76" s="236" t="str">
        <f>VLOOKUP(A76, 'NZS O&amp;G and CA100'!$B$7:$D$194, 3, FALSE)</f>
        <v>Climate Solutions</v>
      </c>
      <c r="D76" s="310" t="str">
        <f>IF(INDEX('NZS O&amp;G and CA100'!$D$5:$D$193, MATCH($A76, 'NZS O&amp;G and CA100'!$B$5:$B$193, 0)) =$B$4, INDEX('NZS O&amp;G and CA100'!$E$5:$N$193, MATCH($A76, 'NZS O&amp;G and CA100'!$B$5:$B$193, 0),MATCH(D$3, 'NZS O&amp;G and CA100'!$E$3:$N$3, 0)),"")</f>
        <v/>
      </c>
      <c r="E76" s="311" t="str">
        <f>IF(INDEX('NZS O&amp;G and CA100'!$D$5:$D$193, MATCH($A76, 'NZS O&amp;G and CA100'!$B$5:$B$193, 0)) =$B$4, INDEX('NZS O&amp;G and CA100'!$E$5:$N$193, MATCH($A76, 'NZS O&amp;G and CA100'!$B$5:$B$193, 0),MATCH(E$3, 'NZS O&amp;G and CA100'!$E$3:$N$3, 0)),"")</f>
        <v/>
      </c>
      <c r="F76" s="311" t="str">
        <f>IF(INDEX('NZS O&amp;G and CA100'!$D$5:$D$193, MATCH($A76, 'NZS O&amp;G and CA100'!$B$5:$B$193, 0)) =$B$4, INDEX('NZS O&amp;G and CA100'!$E$5:$N$193, MATCH($A76, 'NZS O&amp;G and CA100'!$B$5:$B$193, 0),MATCH(F$3, 'NZS O&amp;G and CA100'!$E$3:$N$3, 0)),"")</f>
        <v/>
      </c>
      <c r="G76" s="311" t="str">
        <f>IF(INDEX('NZS O&amp;G and CA100'!$D$5:$D$193, MATCH($A76, 'NZS O&amp;G and CA100'!$B$5:$B$193, 0)) =$B$4, INDEX('NZS O&amp;G and CA100'!$E$5:$N$193, MATCH($A76, 'NZS O&amp;G and CA100'!$B$5:$B$193, 0),MATCH(G$3, 'NZS O&amp;G and CA100'!$E$3:$N$3, 0)),"")</f>
        <v/>
      </c>
      <c r="H76" s="311" t="str">
        <f>IF(INDEX('NZS O&amp;G and CA100'!$D$5:$D$193, MATCH($A76, 'NZS O&amp;G and CA100'!$B$5:$B$193, 0)) =$B$4, INDEX('NZS O&amp;G and CA100'!$E$5:$N$193, MATCH($A76, 'NZS O&amp;G and CA100'!$B$5:$B$193, 0),MATCH(H$3, 'NZS O&amp;G and CA100'!$E$3:$N$3, 0)),"")</f>
        <v/>
      </c>
      <c r="I76" s="311" t="str">
        <f>IF(INDEX('NZS O&amp;G and CA100'!$D$5:$D$193, MATCH($A76, 'NZS O&amp;G and CA100'!$B$5:$B$193, 0)) =$B$4, INDEX('NZS O&amp;G and CA100'!$E$5:$N$193, MATCH($A76, 'NZS O&amp;G and CA100'!$B$5:$B$193, 0),MATCH(I$3, 'NZS O&amp;G and CA100'!$E$3:$N$3, 0)),"")</f>
        <v/>
      </c>
      <c r="J76" s="311" t="str">
        <f>IF(INDEX('NZS O&amp;G and CA100'!$D$5:$D$193, MATCH($A76, 'NZS O&amp;G and CA100'!$B$5:$B$193, 0)) =$B$4, INDEX('NZS O&amp;G and CA100'!$E$5:$N$193, MATCH($A76, 'NZS O&amp;G and CA100'!$B$5:$B$193, 0),MATCH(J$3, 'NZS O&amp;G and CA100'!$E$3:$N$3, 0)),"")</f>
        <v/>
      </c>
      <c r="K76" s="311" t="str">
        <f>IF(INDEX('NZS O&amp;G and CA100'!$D$5:$D$193, MATCH($A76, 'NZS O&amp;G and CA100'!$B$5:$B$193, 0)) =$B$4, INDEX('NZS O&amp;G and CA100'!$E$5:$N$193, MATCH($A76, 'NZS O&amp;G and CA100'!$B$5:$B$193, 0),MATCH(K$3, 'NZS O&amp;G and CA100'!$E$3:$N$3, 0)),"")</f>
        <v/>
      </c>
      <c r="L76" s="311" t="str">
        <f>IF(INDEX('NZS O&amp;G and CA100'!$D$5:$D$193, MATCH($A76, 'NZS O&amp;G and CA100'!$B$5:$B$193, 0)) =$B$4, INDEX('NZS O&amp;G and CA100'!$E$5:$N$193, MATCH($A76, 'NZS O&amp;G and CA100'!$B$5:$B$193, 0),MATCH(L$3, 'NZS O&amp;G and CA100'!$E$3:$N$3, 0)),"")</f>
        <v/>
      </c>
      <c r="M76" s="312" t="str">
        <f>IF(INDEX('NZS O&amp;G and CA100'!$D$5:$D$193, MATCH($A76, 'NZS O&amp;G and CA100'!$B$5:$B$193, 0)) =$B$4, INDEX('NZS O&amp;G and CA100'!$E$5:$N$193, MATCH($A76, 'NZS O&amp;G and CA100'!$B$5:$B$193, 0),MATCH(M$3, 'NZS O&amp;G and CA100'!$E$3:$N$3, 0)),"")</f>
        <v/>
      </c>
      <c r="O76" s="55"/>
      <c r="P76" s="56"/>
      <c r="Q76" s="56"/>
      <c r="R76" s="56"/>
      <c r="S76" s="56"/>
      <c r="T76" s="56"/>
      <c r="U76" s="56"/>
      <c r="V76" s="56"/>
      <c r="W76" s="56"/>
      <c r="X76" s="57"/>
      <c r="Z76" s="55" t="str">
        <f>IF(INDEX('NZS O&amp;G and CA100'!$D$5:$D$193, MATCH($A76, 'NZS O&amp;G and CA100'!$B$5:$B$193, 0)) = "Solutions", INDEX('NZS O&amp;G and CA100'!$E$5:$N$193, MATCH($A76, 'NZS O&amp;G and CA100'!$B$5:$B$193, 0),MATCH(Z$4, 'NZS O&amp;G and CA100'!$E$3:$N$3, 0)),"")</f>
        <v/>
      </c>
      <c r="AA76" s="56" t="str">
        <f>IF(INDEX('NZS O&amp;G and CA100'!$D$5:$D$193, MATCH($A76, 'NZS O&amp;G and CA100'!$B$5:$B$193, 0)) = "Solutions", INDEX('NZS O&amp;G and CA100'!$E$5:$N$193, MATCH($A76, 'NZS O&amp;G and CA100'!$B$5:$B$193, 0),MATCH(AA$4, 'NZS O&amp;G and CA100'!$E$3:$N$3, 0)),"")</f>
        <v/>
      </c>
      <c r="AB76" s="56" t="str">
        <f>IF(INDEX('NZS O&amp;G and CA100'!$D$5:$D$193, MATCH($A76, 'NZS O&amp;G and CA100'!$B$5:$B$193, 0)) = "Solutions", INDEX('NZS O&amp;G and CA100'!$E$5:$N$193, MATCH($A76, 'NZS O&amp;G and CA100'!$B$5:$B$193, 0),MATCH(AB$4, 'NZS O&amp;G and CA100'!$E$3:$N$3, 0)),"")</f>
        <v/>
      </c>
      <c r="AC76" s="56" t="str">
        <f>IF(INDEX('NZS O&amp;G and CA100'!$D$5:$D$193, MATCH($A76, 'NZS O&amp;G and CA100'!$B$5:$B$193, 0)) = "Solutions", INDEX('NZS O&amp;G and CA100'!$E$5:$N$193, MATCH($A76, 'NZS O&amp;G and CA100'!$B$5:$B$193, 0),MATCH(AC$4, 'NZS O&amp;G and CA100'!$E$3:$N$3, 0)),"")</f>
        <v/>
      </c>
      <c r="AD76" s="56" t="str">
        <f>IF(INDEX('NZS O&amp;G and CA100'!$D$5:$D$193, MATCH($A76, 'NZS O&amp;G and CA100'!$B$5:$B$193, 0)) = "Solutions", INDEX('NZS O&amp;G and CA100'!$E$5:$N$193, MATCH($A76, 'NZS O&amp;G and CA100'!$B$5:$B$193, 0),MATCH(AD$4, 'NZS O&amp;G and CA100'!$E$3:$N$3, 0)),"")</f>
        <v/>
      </c>
      <c r="AE76" s="56" t="str">
        <f>IF(INDEX('NZS O&amp;G and CA100'!$D$5:$D$193, MATCH($A76, 'NZS O&amp;G and CA100'!$B$5:$B$193, 0)) = "Solutions", INDEX('NZS O&amp;G and CA100'!$E$5:$N$193, MATCH($A76, 'NZS O&amp;G and CA100'!$B$5:$B$193, 0),MATCH(AE$4, 'NZS O&amp;G and CA100'!$E$3:$N$3, 0)),"")</f>
        <v/>
      </c>
      <c r="AF76" s="56" t="str">
        <f>IF(INDEX('NZS O&amp;G and CA100'!$D$5:$D$193, MATCH($A76, 'NZS O&amp;G and CA100'!$B$5:$B$193, 0)) = "Solutions", INDEX('NZS O&amp;G and CA100'!$E$5:$N$193, MATCH($A76, 'NZS O&amp;G and CA100'!$B$5:$B$193, 0),MATCH(AF$4, 'NZS O&amp;G and CA100'!$E$3:$N$3, 0)),"")</f>
        <v/>
      </c>
      <c r="AG76" s="56" t="str">
        <f>IF(INDEX('NZS O&amp;G and CA100'!$D$5:$D$193, MATCH($A76, 'NZS O&amp;G and CA100'!$B$5:$B$193, 0)) = "Solutions", INDEX('NZS O&amp;G and CA100'!$E$5:$N$193, MATCH($A76, 'NZS O&amp;G and CA100'!$B$5:$B$193, 0),MATCH(AG$4, 'NZS O&amp;G and CA100'!$E$3:$N$3, 0)),"")</f>
        <v/>
      </c>
      <c r="AH76" s="56" t="str">
        <f>IF(INDEX('NZS O&amp;G and CA100'!$D$5:$D$193, MATCH($A76, 'NZS O&amp;G and CA100'!$B$5:$B$193, 0)) = "Solutions", INDEX('NZS O&amp;G and CA100'!$E$5:$N$193, MATCH($A76, 'NZS O&amp;G and CA100'!$B$5:$B$193, 0),MATCH(AH$4, 'NZS O&amp;G and CA100'!$E$3:$N$3, 0)),"")</f>
        <v/>
      </c>
      <c r="AI76" s="57" t="str">
        <f>IF(INDEX('NZS O&amp;G and CA100'!$D$5:$D$193, MATCH($A76, 'NZS O&amp;G and CA100'!$B$5:$B$193, 0)) = "Solutions", INDEX('NZS O&amp;G and CA100'!$E$5:$N$193, MATCH($A76, 'NZS O&amp;G and CA100'!$B$5:$B$193, 0),MATCH(AI$4, 'NZS O&amp;G and CA100'!$E$3:$N$3, 0)),"")</f>
        <v/>
      </c>
      <c r="AK76" s="49"/>
      <c r="AL76" s="49"/>
      <c r="AM76" s="49"/>
      <c r="AN76" s="49"/>
      <c r="AO76" s="49"/>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0"/>
      <c r="CA76" s="50"/>
      <c r="CB76" s="50"/>
      <c r="CC76" s="50"/>
      <c r="CD76" s="50"/>
      <c r="CE76" s="50"/>
      <c r="CF76" s="50"/>
      <c r="CG76" s="50"/>
      <c r="CH76" s="50"/>
      <c r="CI76" s="50"/>
      <c r="CJ76" s="50"/>
      <c r="CK76" s="50"/>
      <c r="CL76" s="50"/>
      <c r="CM76" s="50"/>
      <c r="CN76" s="50"/>
      <c r="CO76" s="50"/>
      <c r="CP76" s="50"/>
      <c r="CQ76" s="50"/>
      <c r="CR76" s="50"/>
      <c r="CS76" s="50"/>
      <c r="CT76" s="50"/>
      <c r="CU76" s="50"/>
      <c r="CV76" s="50"/>
      <c r="CW76" s="50"/>
      <c r="CX76" s="50"/>
      <c r="CY76" s="50"/>
      <c r="CZ76" s="50"/>
      <c r="DA76" s="50"/>
      <c r="DB76" s="50"/>
      <c r="DC76" s="50"/>
      <c r="DD76" s="50"/>
    </row>
    <row r="77" spans="1:108" s="1" customFormat="1" ht="20.149999999999999" customHeight="1" outlineLevel="2">
      <c r="A77" s="302" t="s">
        <v>319</v>
      </c>
      <c r="B77" s="235" t="s">
        <v>129</v>
      </c>
      <c r="C77" s="236" t="str">
        <f>VLOOKUP(A77, 'NZS O&amp;G and CA100'!$B$7:$D$194, 3, FALSE)</f>
        <v>Climate Solutions</v>
      </c>
      <c r="D77" s="310" t="str">
        <f>IF(INDEX('NZS O&amp;G and CA100'!$D$5:$D$193, MATCH($A77, 'NZS O&amp;G and CA100'!$B$5:$B$193, 0)) =$B$4, INDEX('NZS O&amp;G and CA100'!$E$5:$N$193, MATCH($A77, 'NZS O&amp;G and CA100'!$B$5:$B$193, 0),MATCH(D$3, 'NZS O&amp;G and CA100'!$E$3:$N$3, 0)),"")</f>
        <v/>
      </c>
      <c r="E77" s="311" t="str">
        <f>IF(INDEX('NZS O&amp;G and CA100'!$D$5:$D$193, MATCH($A77, 'NZS O&amp;G and CA100'!$B$5:$B$193, 0)) =$B$4, INDEX('NZS O&amp;G and CA100'!$E$5:$N$193, MATCH($A77, 'NZS O&amp;G and CA100'!$B$5:$B$193, 0),MATCH(E$3, 'NZS O&amp;G and CA100'!$E$3:$N$3, 0)),"")</f>
        <v/>
      </c>
      <c r="F77" s="311" t="str">
        <f>IF(INDEX('NZS O&amp;G and CA100'!$D$5:$D$193, MATCH($A77, 'NZS O&amp;G and CA100'!$B$5:$B$193, 0)) =$B$4, INDEX('NZS O&amp;G and CA100'!$E$5:$N$193, MATCH($A77, 'NZS O&amp;G and CA100'!$B$5:$B$193, 0),MATCH(F$3, 'NZS O&amp;G and CA100'!$E$3:$N$3, 0)),"")</f>
        <v/>
      </c>
      <c r="G77" s="311" t="str">
        <f>IF(INDEX('NZS O&amp;G and CA100'!$D$5:$D$193, MATCH($A77, 'NZS O&amp;G and CA100'!$B$5:$B$193, 0)) =$B$4, INDEX('NZS O&amp;G and CA100'!$E$5:$N$193, MATCH($A77, 'NZS O&amp;G and CA100'!$B$5:$B$193, 0),MATCH(G$3, 'NZS O&amp;G and CA100'!$E$3:$N$3, 0)),"")</f>
        <v/>
      </c>
      <c r="H77" s="311" t="str">
        <f>IF(INDEX('NZS O&amp;G and CA100'!$D$5:$D$193, MATCH($A77, 'NZS O&amp;G and CA100'!$B$5:$B$193, 0)) =$B$4, INDEX('NZS O&amp;G and CA100'!$E$5:$N$193, MATCH($A77, 'NZS O&amp;G and CA100'!$B$5:$B$193, 0),MATCH(H$3, 'NZS O&amp;G and CA100'!$E$3:$N$3, 0)),"")</f>
        <v/>
      </c>
      <c r="I77" s="311" t="str">
        <f>IF(INDEX('NZS O&amp;G and CA100'!$D$5:$D$193, MATCH($A77, 'NZS O&amp;G and CA100'!$B$5:$B$193, 0)) =$B$4, INDEX('NZS O&amp;G and CA100'!$E$5:$N$193, MATCH($A77, 'NZS O&amp;G and CA100'!$B$5:$B$193, 0),MATCH(I$3, 'NZS O&amp;G and CA100'!$E$3:$N$3, 0)),"")</f>
        <v/>
      </c>
      <c r="J77" s="311" t="str">
        <f>IF(INDEX('NZS O&amp;G and CA100'!$D$5:$D$193, MATCH($A77, 'NZS O&amp;G and CA100'!$B$5:$B$193, 0)) =$B$4, INDEX('NZS O&amp;G and CA100'!$E$5:$N$193, MATCH($A77, 'NZS O&amp;G and CA100'!$B$5:$B$193, 0),MATCH(J$3, 'NZS O&amp;G and CA100'!$E$3:$N$3, 0)),"")</f>
        <v/>
      </c>
      <c r="K77" s="311" t="str">
        <f>IF(INDEX('NZS O&amp;G and CA100'!$D$5:$D$193, MATCH($A77, 'NZS O&amp;G and CA100'!$B$5:$B$193, 0)) =$B$4, INDEX('NZS O&amp;G and CA100'!$E$5:$N$193, MATCH($A77, 'NZS O&amp;G and CA100'!$B$5:$B$193, 0),MATCH(K$3, 'NZS O&amp;G and CA100'!$E$3:$N$3, 0)),"")</f>
        <v/>
      </c>
      <c r="L77" s="311" t="str">
        <f>IF(INDEX('NZS O&amp;G and CA100'!$D$5:$D$193, MATCH($A77, 'NZS O&amp;G and CA100'!$B$5:$B$193, 0)) =$B$4, INDEX('NZS O&amp;G and CA100'!$E$5:$N$193, MATCH($A77, 'NZS O&amp;G and CA100'!$B$5:$B$193, 0),MATCH(L$3, 'NZS O&amp;G and CA100'!$E$3:$N$3, 0)),"")</f>
        <v/>
      </c>
      <c r="M77" s="312" t="str">
        <f>IF(INDEX('NZS O&amp;G and CA100'!$D$5:$D$193, MATCH($A77, 'NZS O&amp;G and CA100'!$B$5:$B$193, 0)) =$B$4, INDEX('NZS O&amp;G and CA100'!$E$5:$N$193, MATCH($A77, 'NZS O&amp;G and CA100'!$B$5:$B$193, 0),MATCH(M$3, 'NZS O&amp;G and CA100'!$E$3:$N$3, 0)),"")</f>
        <v/>
      </c>
      <c r="O77" s="55"/>
      <c r="P77" s="56"/>
      <c r="Q77" s="56"/>
      <c r="R77" s="56"/>
      <c r="S77" s="56"/>
      <c r="T77" s="56"/>
      <c r="U77" s="56"/>
      <c r="V77" s="56"/>
      <c r="W77" s="56"/>
      <c r="X77" s="57"/>
      <c r="Z77" s="55" t="str">
        <f>IF(INDEX('NZS O&amp;G and CA100'!$D$5:$D$193, MATCH($A77, 'NZS O&amp;G and CA100'!$B$5:$B$193, 0)) = "Solutions", INDEX('NZS O&amp;G and CA100'!$E$5:$N$193, MATCH($A77, 'NZS O&amp;G and CA100'!$B$5:$B$193, 0),MATCH(Z$4, 'NZS O&amp;G and CA100'!$E$3:$N$3, 0)),"")</f>
        <v/>
      </c>
      <c r="AA77" s="56" t="str">
        <f>IF(INDEX('NZS O&amp;G and CA100'!$D$5:$D$193, MATCH($A77, 'NZS O&amp;G and CA100'!$B$5:$B$193, 0)) = "Solutions", INDEX('NZS O&amp;G and CA100'!$E$5:$N$193, MATCH($A77, 'NZS O&amp;G and CA100'!$B$5:$B$193, 0),MATCH(AA$4, 'NZS O&amp;G and CA100'!$E$3:$N$3, 0)),"")</f>
        <v/>
      </c>
      <c r="AB77" s="56" t="str">
        <f>IF(INDEX('NZS O&amp;G and CA100'!$D$5:$D$193, MATCH($A77, 'NZS O&amp;G and CA100'!$B$5:$B$193, 0)) = "Solutions", INDEX('NZS O&amp;G and CA100'!$E$5:$N$193, MATCH($A77, 'NZS O&amp;G and CA100'!$B$5:$B$193, 0),MATCH(AB$4, 'NZS O&amp;G and CA100'!$E$3:$N$3, 0)),"")</f>
        <v/>
      </c>
      <c r="AC77" s="56" t="str">
        <f>IF(INDEX('NZS O&amp;G and CA100'!$D$5:$D$193, MATCH($A77, 'NZS O&amp;G and CA100'!$B$5:$B$193, 0)) = "Solutions", INDEX('NZS O&amp;G and CA100'!$E$5:$N$193, MATCH($A77, 'NZS O&amp;G and CA100'!$B$5:$B$193, 0),MATCH(AC$4, 'NZS O&amp;G and CA100'!$E$3:$N$3, 0)),"")</f>
        <v/>
      </c>
      <c r="AD77" s="56" t="str">
        <f>IF(INDEX('NZS O&amp;G and CA100'!$D$5:$D$193, MATCH($A77, 'NZS O&amp;G and CA100'!$B$5:$B$193, 0)) = "Solutions", INDEX('NZS O&amp;G and CA100'!$E$5:$N$193, MATCH($A77, 'NZS O&amp;G and CA100'!$B$5:$B$193, 0),MATCH(AD$4, 'NZS O&amp;G and CA100'!$E$3:$N$3, 0)),"")</f>
        <v/>
      </c>
      <c r="AE77" s="56" t="str">
        <f>IF(INDEX('NZS O&amp;G and CA100'!$D$5:$D$193, MATCH($A77, 'NZS O&amp;G and CA100'!$B$5:$B$193, 0)) = "Solutions", INDEX('NZS O&amp;G and CA100'!$E$5:$N$193, MATCH($A77, 'NZS O&amp;G and CA100'!$B$5:$B$193, 0),MATCH(AE$4, 'NZS O&amp;G and CA100'!$E$3:$N$3, 0)),"")</f>
        <v/>
      </c>
      <c r="AF77" s="56" t="str">
        <f>IF(INDEX('NZS O&amp;G and CA100'!$D$5:$D$193, MATCH($A77, 'NZS O&amp;G and CA100'!$B$5:$B$193, 0)) = "Solutions", INDEX('NZS O&amp;G and CA100'!$E$5:$N$193, MATCH($A77, 'NZS O&amp;G and CA100'!$B$5:$B$193, 0),MATCH(AF$4, 'NZS O&amp;G and CA100'!$E$3:$N$3, 0)),"")</f>
        <v/>
      </c>
      <c r="AG77" s="56" t="str">
        <f>IF(INDEX('NZS O&amp;G and CA100'!$D$5:$D$193, MATCH($A77, 'NZS O&amp;G and CA100'!$B$5:$B$193, 0)) = "Solutions", INDEX('NZS O&amp;G and CA100'!$E$5:$N$193, MATCH($A77, 'NZS O&amp;G and CA100'!$B$5:$B$193, 0),MATCH(AG$4, 'NZS O&amp;G and CA100'!$E$3:$N$3, 0)),"")</f>
        <v/>
      </c>
      <c r="AH77" s="56" t="str">
        <f>IF(INDEX('NZS O&amp;G and CA100'!$D$5:$D$193, MATCH($A77, 'NZS O&amp;G and CA100'!$B$5:$B$193, 0)) = "Solutions", INDEX('NZS O&amp;G and CA100'!$E$5:$N$193, MATCH($A77, 'NZS O&amp;G and CA100'!$B$5:$B$193, 0),MATCH(AH$4, 'NZS O&amp;G and CA100'!$E$3:$N$3, 0)),"")</f>
        <v/>
      </c>
      <c r="AI77" s="57" t="str">
        <f>IF(INDEX('NZS O&amp;G and CA100'!$D$5:$D$193, MATCH($A77, 'NZS O&amp;G and CA100'!$B$5:$B$193, 0)) = "Solutions", INDEX('NZS O&amp;G and CA100'!$E$5:$N$193, MATCH($A77, 'NZS O&amp;G and CA100'!$B$5:$B$193, 0),MATCH(AI$4, 'NZS O&amp;G and CA100'!$E$3:$N$3, 0)),"")</f>
        <v/>
      </c>
      <c r="AK77" s="49"/>
      <c r="AL77" s="49"/>
      <c r="AM77" s="49"/>
      <c r="AN77" s="49"/>
      <c r="AO77" s="49"/>
      <c r="AP77" s="50"/>
      <c r="AQ77" s="50"/>
      <c r="AR77" s="50"/>
      <c r="AS77" s="50"/>
      <c r="AT77" s="50"/>
      <c r="AU77" s="50"/>
      <c r="AV77" s="50"/>
      <c r="AW77" s="50"/>
      <c r="AX77" s="50"/>
      <c r="AY77" s="50"/>
      <c r="AZ77" s="50"/>
      <c r="BA77" s="50"/>
      <c r="BB77" s="50"/>
      <c r="BC77" s="50"/>
      <c r="BD77" s="50"/>
      <c r="BE77" s="50"/>
      <c r="BF77" s="50"/>
      <c r="BG77" s="50"/>
      <c r="BH77" s="50"/>
      <c r="BI77" s="50"/>
      <c r="BJ77" s="50"/>
      <c r="BK77" s="50"/>
      <c r="BL77" s="50"/>
      <c r="BM77" s="50"/>
      <c r="BN77" s="50"/>
      <c r="BO77" s="50"/>
      <c r="BP77" s="50"/>
      <c r="BQ77" s="50"/>
      <c r="BR77" s="50"/>
      <c r="BS77" s="50"/>
      <c r="BT77" s="50"/>
      <c r="BU77" s="50"/>
      <c r="BV77" s="50"/>
      <c r="BW77" s="50"/>
      <c r="BX77" s="50"/>
      <c r="BY77" s="50"/>
      <c r="BZ77" s="50"/>
      <c r="CA77" s="50"/>
      <c r="CB77" s="50"/>
      <c r="CC77" s="50"/>
      <c r="CD77" s="50"/>
      <c r="CE77" s="50"/>
      <c r="CF77" s="5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row>
    <row r="78" spans="1:108" s="1" customFormat="1" ht="20.149999999999999" customHeight="1" outlineLevel="2">
      <c r="A78" s="302" t="s">
        <v>320</v>
      </c>
      <c r="B78" s="235" t="s">
        <v>130</v>
      </c>
      <c r="C78" s="236" t="str">
        <f>VLOOKUP(A78, 'NZS O&amp;G and CA100'!$B$7:$D$194, 3, FALSE)</f>
        <v>Climate Solutions</v>
      </c>
      <c r="D78" s="310" t="str">
        <f>IF(INDEX('NZS O&amp;G and CA100'!$D$5:$D$193, MATCH($A78, 'NZS O&amp;G and CA100'!$B$5:$B$193, 0)) =$B$4, INDEX('NZS O&amp;G and CA100'!$E$5:$N$193, MATCH($A78, 'NZS O&amp;G and CA100'!$B$5:$B$193, 0),MATCH(D$3, 'NZS O&amp;G and CA100'!$E$3:$N$3, 0)),"")</f>
        <v/>
      </c>
      <c r="E78" s="311" t="str">
        <f>IF(INDEX('NZS O&amp;G and CA100'!$D$5:$D$193, MATCH($A78, 'NZS O&amp;G and CA100'!$B$5:$B$193, 0)) =$B$4, INDEX('NZS O&amp;G and CA100'!$E$5:$N$193, MATCH($A78, 'NZS O&amp;G and CA100'!$B$5:$B$193, 0),MATCH(E$3, 'NZS O&amp;G and CA100'!$E$3:$N$3, 0)),"")</f>
        <v/>
      </c>
      <c r="F78" s="311" t="str">
        <f>IF(INDEX('NZS O&amp;G and CA100'!$D$5:$D$193, MATCH($A78, 'NZS O&amp;G and CA100'!$B$5:$B$193, 0)) =$B$4, INDEX('NZS O&amp;G and CA100'!$E$5:$N$193, MATCH($A78, 'NZS O&amp;G and CA100'!$B$5:$B$193, 0),MATCH(F$3, 'NZS O&amp;G and CA100'!$E$3:$N$3, 0)),"")</f>
        <v/>
      </c>
      <c r="G78" s="311" t="str">
        <f>IF(INDEX('NZS O&amp;G and CA100'!$D$5:$D$193, MATCH($A78, 'NZS O&amp;G and CA100'!$B$5:$B$193, 0)) =$B$4, INDEX('NZS O&amp;G and CA100'!$E$5:$N$193, MATCH($A78, 'NZS O&amp;G and CA100'!$B$5:$B$193, 0),MATCH(G$3, 'NZS O&amp;G and CA100'!$E$3:$N$3, 0)),"")</f>
        <v/>
      </c>
      <c r="H78" s="311" t="str">
        <f>IF(INDEX('NZS O&amp;G and CA100'!$D$5:$D$193, MATCH($A78, 'NZS O&amp;G and CA100'!$B$5:$B$193, 0)) =$B$4, INDEX('NZS O&amp;G and CA100'!$E$5:$N$193, MATCH($A78, 'NZS O&amp;G and CA100'!$B$5:$B$193, 0),MATCH(H$3, 'NZS O&amp;G and CA100'!$E$3:$N$3, 0)),"")</f>
        <v/>
      </c>
      <c r="I78" s="311" t="str">
        <f>IF(INDEX('NZS O&amp;G and CA100'!$D$5:$D$193, MATCH($A78, 'NZS O&amp;G and CA100'!$B$5:$B$193, 0)) =$B$4, INDEX('NZS O&amp;G and CA100'!$E$5:$N$193, MATCH($A78, 'NZS O&amp;G and CA100'!$B$5:$B$193, 0),MATCH(I$3, 'NZS O&amp;G and CA100'!$E$3:$N$3, 0)),"")</f>
        <v/>
      </c>
      <c r="J78" s="311" t="str">
        <f>IF(INDEX('NZS O&amp;G and CA100'!$D$5:$D$193, MATCH($A78, 'NZS O&amp;G and CA100'!$B$5:$B$193, 0)) =$B$4, INDEX('NZS O&amp;G and CA100'!$E$5:$N$193, MATCH($A78, 'NZS O&amp;G and CA100'!$B$5:$B$193, 0),MATCH(J$3, 'NZS O&amp;G and CA100'!$E$3:$N$3, 0)),"")</f>
        <v/>
      </c>
      <c r="K78" s="311" t="str">
        <f>IF(INDEX('NZS O&amp;G and CA100'!$D$5:$D$193, MATCH($A78, 'NZS O&amp;G and CA100'!$B$5:$B$193, 0)) =$B$4, INDEX('NZS O&amp;G and CA100'!$E$5:$N$193, MATCH($A78, 'NZS O&amp;G and CA100'!$B$5:$B$193, 0),MATCH(K$3, 'NZS O&amp;G and CA100'!$E$3:$N$3, 0)),"")</f>
        <v/>
      </c>
      <c r="L78" s="311" t="str">
        <f>IF(INDEX('NZS O&amp;G and CA100'!$D$5:$D$193, MATCH($A78, 'NZS O&amp;G and CA100'!$B$5:$B$193, 0)) =$B$4, INDEX('NZS O&amp;G and CA100'!$E$5:$N$193, MATCH($A78, 'NZS O&amp;G and CA100'!$B$5:$B$193, 0),MATCH(L$3, 'NZS O&amp;G and CA100'!$E$3:$N$3, 0)),"")</f>
        <v/>
      </c>
      <c r="M78" s="312" t="str">
        <f>IF(INDEX('NZS O&amp;G and CA100'!$D$5:$D$193, MATCH($A78, 'NZS O&amp;G and CA100'!$B$5:$B$193, 0)) =$B$4, INDEX('NZS O&amp;G and CA100'!$E$5:$N$193, MATCH($A78, 'NZS O&amp;G and CA100'!$B$5:$B$193, 0),MATCH(M$3, 'NZS O&amp;G and CA100'!$E$3:$N$3, 0)),"")</f>
        <v/>
      </c>
      <c r="O78" s="55"/>
      <c r="P78" s="56"/>
      <c r="Q78" s="56"/>
      <c r="R78" s="56"/>
      <c r="S78" s="56"/>
      <c r="T78" s="56"/>
      <c r="U78" s="56"/>
      <c r="V78" s="56"/>
      <c r="W78" s="56"/>
      <c r="X78" s="57"/>
      <c r="Z78" s="55" t="str">
        <f>IF(INDEX('NZS O&amp;G and CA100'!$D$5:$D$193, MATCH($A78, 'NZS O&amp;G and CA100'!$B$5:$B$193, 0)) = "Solutions", INDEX('NZS O&amp;G and CA100'!$E$5:$N$193, MATCH($A78, 'NZS O&amp;G and CA100'!$B$5:$B$193, 0),MATCH(Z$4, 'NZS O&amp;G and CA100'!$E$3:$N$3, 0)),"")</f>
        <v/>
      </c>
      <c r="AA78" s="56" t="str">
        <f>IF(INDEX('NZS O&amp;G and CA100'!$D$5:$D$193, MATCH($A78, 'NZS O&amp;G and CA100'!$B$5:$B$193, 0)) = "Solutions", INDEX('NZS O&amp;G and CA100'!$E$5:$N$193, MATCH($A78, 'NZS O&amp;G and CA100'!$B$5:$B$193, 0),MATCH(AA$4, 'NZS O&amp;G and CA100'!$E$3:$N$3, 0)),"")</f>
        <v/>
      </c>
      <c r="AB78" s="56" t="str">
        <f>IF(INDEX('NZS O&amp;G and CA100'!$D$5:$D$193, MATCH($A78, 'NZS O&amp;G and CA100'!$B$5:$B$193, 0)) = "Solutions", INDEX('NZS O&amp;G and CA100'!$E$5:$N$193, MATCH($A78, 'NZS O&amp;G and CA100'!$B$5:$B$193, 0),MATCH(AB$4, 'NZS O&amp;G and CA100'!$E$3:$N$3, 0)),"")</f>
        <v/>
      </c>
      <c r="AC78" s="56" t="str">
        <f>IF(INDEX('NZS O&amp;G and CA100'!$D$5:$D$193, MATCH($A78, 'NZS O&amp;G and CA100'!$B$5:$B$193, 0)) = "Solutions", INDEX('NZS O&amp;G and CA100'!$E$5:$N$193, MATCH($A78, 'NZS O&amp;G and CA100'!$B$5:$B$193, 0),MATCH(AC$4, 'NZS O&amp;G and CA100'!$E$3:$N$3, 0)),"")</f>
        <v/>
      </c>
      <c r="AD78" s="56" t="str">
        <f>IF(INDEX('NZS O&amp;G and CA100'!$D$5:$D$193, MATCH($A78, 'NZS O&amp;G and CA100'!$B$5:$B$193, 0)) = "Solutions", INDEX('NZS O&amp;G and CA100'!$E$5:$N$193, MATCH($A78, 'NZS O&amp;G and CA100'!$B$5:$B$193, 0),MATCH(AD$4, 'NZS O&amp;G and CA100'!$E$3:$N$3, 0)),"")</f>
        <v/>
      </c>
      <c r="AE78" s="56" t="str">
        <f>IF(INDEX('NZS O&amp;G and CA100'!$D$5:$D$193, MATCH($A78, 'NZS O&amp;G and CA100'!$B$5:$B$193, 0)) = "Solutions", INDEX('NZS O&amp;G and CA100'!$E$5:$N$193, MATCH($A78, 'NZS O&amp;G and CA100'!$B$5:$B$193, 0),MATCH(AE$4, 'NZS O&amp;G and CA100'!$E$3:$N$3, 0)),"")</f>
        <v/>
      </c>
      <c r="AF78" s="56" t="str">
        <f>IF(INDEX('NZS O&amp;G and CA100'!$D$5:$D$193, MATCH($A78, 'NZS O&amp;G and CA100'!$B$5:$B$193, 0)) = "Solutions", INDEX('NZS O&amp;G and CA100'!$E$5:$N$193, MATCH($A78, 'NZS O&amp;G and CA100'!$B$5:$B$193, 0),MATCH(AF$4, 'NZS O&amp;G and CA100'!$E$3:$N$3, 0)),"")</f>
        <v/>
      </c>
      <c r="AG78" s="56" t="str">
        <f>IF(INDEX('NZS O&amp;G and CA100'!$D$5:$D$193, MATCH($A78, 'NZS O&amp;G and CA100'!$B$5:$B$193, 0)) = "Solutions", INDEX('NZS O&amp;G and CA100'!$E$5:$N$193, MATCH($A78, 'NZS O&amp;G and CA100'!$B$5:$B$193, 0),MATCH(AG$4, 'NZS O&amp;G and CA100'!$E$3:$N$3, 0)),"")</f>
        <v/>
      </c>
      <c r="AH78" s="56" t="str">
        <f>IF(INDEX('NZS O&amp;G and CA100'!$D$5:$D$193, MATCH($A78, 'NZS O&amp;G and CA100'!$B$5:$B$193, 0)) = "Solutions", INDEX('NZS O&amp;G and CA100'!$E$5:$N$193, MATCH($A78, 'NZS O&amp;G and CA100'!$B$5:$B$193, 0),MATCH(AH$4, 'NZS O&amp;G and CA100'!$E$3:$N$3, 0)),"")</f>
        <v/>
      </c>
      <c r="AI78" s="57" t="str">
        <f>IF(INDEX('NZS O&amp;G and CA100'!$D$5:$D$193, MATCH($A78, 'NZS O&amp;G and CA100'!$B$5:$B$193, 0)) = "Solutions", INDEX('NZS O&amp;G and CA100'!$E$5:$N$193, MATCH($A78, 'NZS O&amp;G and CA100'!$B$5:$B$193, 0),MATCH(AI$4, 'NZS O&amp;G and CA100'!$E$3:$N$3, 0)),"")</f>
        <v/>
      </c>
      <c r="AK78" s="49"/>
      <c r="AL78" s="49"/>
      <c r="AM78" s="49"/>
      <c r="AN78" s="49"/>
      <c r="AO78" s="49"/>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0"/>
      <c r="CA78" s="50"/>
      <c r="CB78" s="50"/>
      <c r="CC78" s="50"/>
      <c r="CD78" s="50"/>
      <c r="CE78" s="50"/>
      <c r="CF78" s="5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row>
    <row r="79" spans="1:108" s="1" customFormat="1" ht="20.149999999999999" customHeight="1" outlineLevel="2">
      <c r="A79" s="302" t="s">
        <v>321</v>
      </c>
      <c r="B79" s="235" t="s">
        <v>131</v>
      </c>
      <c r="C79" s="236" t="str">
        <f>VLOOKUP(A79, 'NZS O&amp;G and CA100'!$B$7:$D$194, 3, FALSE)</f>
        <v>Climate Solutions</v>
      </c>
      <c r="D79" s="310" t="str">
        <f>IF(INDEX('NZS O&amp;G and CA100'!$D$5:$D$193, MATCH($A79, 'NZS O&amp;G and CA100'!$B$5:$B$193, 0)) =$B$4, INDEX('NZS O&amp;G and CA100'!$E$5:$N$193, MATCH($A79, 'NZS O&amp;G and CA100'!$B$5:$B$193, 0),MATCH(D$3, 'NZS O&amp;G and CA100'!$E$3:$N$3, 0)),"")</f>
        <v/>
      </c>
      <c r="E79" s="311" t="str">
        <f>IF(INDEX('NZS O&amp;G and CA100'!$D$5:$D$193, MATCH($A79, 'NZS O&amp;G and CA100'!$B$5:$B$193, 0)) =$B$4, INDEX('NZS O&amp;G and CA100'!$E$5:$N$193, MATCH($A79, 'NZS O&amp;G and CA100'!$B$5:$B$193, 0),MATCH(E$3, 'NZS O&amp;G and CA100'!$E$3:$N$3, 0)),"")</f>
        <v/>
      </c>
      <c r="F79" s="311" t="str">
        <f>IF(INDEX('NZS O&amp;G and CA100'!$D$5:$D$193, MATCH($A79, 'NZS O&amp;G and CA100'!$B$5:$B$193, 0)) =$B$4, INDEX('NZS O&amp;G and CA100'!$E$5:$N$193, MATCH($A79, 'NZS O&amp;G and CA100'!$B$5:$B$193, 0),MATCH(F$3, 'NZS O&amp;G and CA100'!$E$3:$N$3, 0)),"")</f>
        <v/>
      </c>
      <c r="G79" s="311" t="str">
        <f>IF(INDEX('NZS O&amp;G and CA100'!$D$5:$D$193, MATCH($A79, 'NZS O&amp;G and CA100'!$B$5:$B$193, 0)) =$B$4, INDEX('NZS O&amp;G and CA100'!$E$5:$N$193, MATCH($A79, 'NZS O&amp;G and CA100'!$B$5:$B$193, 0),MATCH(G$3, 'NZS O&amp;G and CA100'!$E$3:$N$3, 0)),"")</f>
        <v/>
      </c>
      <c r="H79" s="311" t="str">
        <f>IF(INDEX('NZS O&amp;G and CA100'!$D$5:$D$193, MATCH($A79, 'NZS O&amp;G and CA100'!$B$5:$B$193, 0)) =$B$4, INDEX('NZS O&amp;G and CA100'!$E$5:$N$193, MATCH($A79, 'NZS O&amp;G and CA100'!$B$5:$B$193, 0),MATCH(H$3, 'NZS O&amp;G and CA100'!$E$3:$N$3, 0)),"")</f>
        <v/>
      </c>
      <c r="I79" s="311" t="str">
        <f>IF(INDEX('NZS O&amp;G and CA100'!$D$5:$D$193, MATCH($A79, 'NZS O&amp;G and CA100'!$B$5:$B$193, 0)) =$B$4, INDEX('NZS O&amp;G and CA100'!$E$5:$N$193, MATCH($A79, 'NZS O&amp;G and CA100'!$B$5:$B$193, 0),MATCH(I$3, 'NZS O&amp;G and CA100'!$E$3:$N$3, 0)),"")</f>
        <v/>
      </c>
      <c r="J79" s="311" t="str">
        <f>IF(INDEX('NZS O&amp;G and CA100'!$D$5:$D$193, MATCH($A79, 'NZS O&amp;G and CA100'!$B$5:$B$193, 0)) =$B$4, INDEX('NZS O&amp;G and CA100'!$E$5:$N$193, MATCH($A79, 'NZS O&amp;G and CA100'!$B$5:$B$193, 0),MATCH(J$3, 'NZS O&amp;G and CA100'!$E$3:$N$3, 0)),"")</f>
        <v/>
      </c>
      <c r="K79" s="311" t="str">
        <f>IF(INDEX('NZS O&amp;G and CA100'!$D$5:$D$193, MATCH($A79, 'NZS O&amp;G and CA100'!$B$5:$B$193, 0)) =$B$4, INDEX('NZS O&amp;G and CA100'!$E$5:$N$193, MATCH($A79, 'NZS O&amp;G and CA100'!$B$5:$B$193, 0),MATCH(K$3, 'NZS O&amp;G and CA100'!$E$3:$N$3, 0)),"")</f>
        <v/>
      </c>
      <c r="L79" s="311" t="str">
        <f>IF(INDEX('NZS O&amp;G and CA100'!$D$5:$D$193, MATCH($A79, 'NZS O&amp;G and CA100'!$B$5:$B$193, 0)) =$B$4, INDEX('NZS O&amp;G and CA100'!$E$5:$N$193, MATCH($A79, 'NZS O&amp;G and CA100'!$B$5:$B$193, 0),MATCH(L$3, 'NZS O&amp;G and CA100'!$E$3:$N$3, 0)),"")</f>
        <v/>
      </c>
      <c r="M79" s="312" t="str">
        <f>IF(INDEX('NZS O&amp;G and CA100'!$D$5:$D$193, MATCH($A79, 'NZS O&amp;G and CA100'!$B$5:$B$193, 0)) =$B$4, INDEX('NZS O&amp;G and CA100'!$E$5:$N$193, MATCH($A79, 'NZS O&amp;G and CA100'!$B$5:$B$193, 0),MATCH(M$3, 'NZS O&amp;G and CA100'!$E$3:$N$3, 0)),"")</f>
        <v/>
      </c>
      <c r="O79" s="55"/>
      <c r="P79" s="56"/>
      <c r="Q79" s="56"/>
      <c r="R79" s="56"/>
      <c r="S79" s="56"/>
      <c r="T79" s="56"/>
      <c r="U79" s="56"/>
      <c r="V79" s="56"/>
      <c r="W79" s="56"/>
      <c r="X79" s="57"/>
      <c r="Z79" s="55" t="str">
        <f>IF(INDEX('NZS O&amp;G and CA100'!$D$5:$D$193, MATCH($A79, 'NZS O&amp;G and CA100'!$B$5:$B$193, 0)) = "Solutions", INDEX('NZS O&amp;G and CA100'!$E$5:$N$193, MATCH($A79, 'NZS O&amp;G and CA100'!$B$5:$B$193, 0),MATCH(Z$4, 'NZS O&amp;G and CA100'!$E$3:$N$3, 0)),"")</f>
        <v/>
      </c>
      <c r="AA79" s="56" t="str">
        <f>IF(INDEX('NZS O&amp;G and CA100'!$D$5:$D$193, MATCH($A79, 'NZS O&amp;G and CA100'!$B$5:$B$193, 0)) = "Solutions", INDEX('NZS O&amp;G and CA100'!$E$5:$N$193, MATCH($A79, 'NZS O&amp;G and CA100'!$B$5:$B$193, 0),MATCH(AA$4, 'NZS O&amp;G and CA100'!$E$3:$N$3, 0)),"")</f>
        <v/>
      </c>
      <c r="AB79" s="56" t="str">
        <f>IF(INDEX('NZS O&amp;G and CA100'!$D$5:$D$193, MATCH($A79, 'NZS O&amp;G and CA100'!$B$5:$B$193, 0)) = "Solutions", INDEX('NZS O&amp;G and CA100'!$E$5:$N$193, MATCH($A79, 'NZS O&amp;G and CA100'!$B$5:$B$193, 0),MATCH(AB$4, 'NZS O&amp;G and CA100'!$E$3:$N$3, 0)),"")</f>
        <v/>
      </c>
      <c r="AC79" s="56" t="str">
        <f>IF(INDEX('NZS O&amp;G and CA100'!$D$5:$D$193, MATCH($A79, 'NZS O&amp;G and CA100'!$B$5:$B$193, 0)) = "Solutions", INDEX('NZS O&amp;G and CA100'!$E$5:$N$193, MATCH($A79, 'NZS O&amp;G and CA100'!$B$5:$B$193, 0),MATCH(AC$4, 'NZS O&amp;G and CA100'!$E$3:$N$3, 0)),"")</f>
        <v/>
      </c>
      <c r="AD79" s="56" t="str">
        <f>IF(INDEX('NZS O&amp;G and CA100'!$D$5:$D$193, MATCH($A79, 'NZS O&amp;G and CA100'!$B$5:$B$193, 0)) = "Solutions", INDEX('NZS O&amp;G and CA100'!$E$5:$N$193, MATCH($A79, 'NZS O&amp;G and CA100'!$B$5:$B$193, 0),MATCH(AD$4, 'NZS O&amp;G and CA100'!$E$3:$N$3, 0)),"")</f>
        <v/>
      </c>
      <c r="AE79" s="56" t="str">
        <f>IF(INDEX('NZS O&amp;G and CA100'!$D$5:$D$193, MATCH($A79, 'NZS O&amp;G and CA100'!$B$5:$B$193, 0)) = "Solutions", INDEX('NZS O&amp;G and CA100'!$E$5:$N$193, MATCH($A79, 'NZS O&amp;G and CA100'!$B$5:$B$193, 0),MATCH(AE$4, 'NZS O&amp;G and CA100'!$E$3:$N$3, 0)),"")</f>
        <v/>
      </c>
      <c r="AF79" s="56" t="str">
        <f>IF(INDEX('NZS O&amp;G and CA100'!$D$5:$D$193, MATCH($A79, 'NZS O&amp;G and CA100'!$B$5:$B$193, 0)) = "Solutions", INDEX('NZS O&amp;G and CA100'!$E$5:$N$193, MATCH($A79, 'NZS O&amp;G and CA100'!$B$5:$B$193, 0),MATCH(AF$4, 'NZS O&amp;G and CA100'!$E$3:$N$3, 0)),"")</f>
        <v/>
      </c>
      <c r="AG79" s="56" t="str">
        <f>IF(INDEX('NZS O&amp;G and CA100'!$D$5:$D$193, MATCH($A79, 'NZS O&amp;G and CA100'!$B$5:$B$193, 0)) = "Solutions", INDEX('NZS O&amp;G and CA100'!$E$5:$N$193, MATCH($A79, 'NZS O&amp;G and CA100'!$B$5:$B$193, 0),MATCH(AG$4, 'NZS O&amp;G and CA100'!$E$3:$N$3, 0)),"")</f>
        <v/>
      </c>
      <c r="AH79" s="56" t="str">
        <f>IF(INDEX('NZS O&amp;G and CA100'!$D$5:$D$193, MATCH($A79, 'NZS O&amp;G and CA100'!$B$5:$B$193, 0)) = "Solutions", INDEX('NZS O&amp;G and CA100'!$E$5:$N$193, MATCH($A79, 'NZS O&amp;G and CA100'!$B$5:$B$193, 0),MATCH(AH$4, 'NZS O&amp;G and CA100'!$E$3:$N$3, 0)),"")</f>
        <v/>
      </c>
      <c r="AI79" s="57" t="str">
        <f>IF(INDEX('NZS O&amp;G and CA100'!$D$5:$D$193, MATCH($A79, 'NZS O&amp;G and CA100'!$B$5:$B$193, 0)) = "Solutions", INDEX('NZS O&amp;G and CA100'!$E$5:$N$193, MATCH($A79, 'NZS O&amp;G and CA100'!$B$5:$B$193, 0),MATCH(AI$4, 'NZS O&amp;G and CA100'!$E$3:$N$3, 0)),"")</f>
        <v/>
      </c>
      <c r="AK79" s="49"/>
      <c r="AL79" s="49"/>
      <c r="AM79" s="49"/>
      <c r="AN79" s="49"/>
      <c r="AO79" s="49"/>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0"/>
      <c r="CA79" s="50"/>
      <c r="CB79" s="50"/>
      <c r="CC79" s="50"/>
      <c r="CD79" s="50"/>
      <c r="CE79" s="50"/>
      <c r="CF79" s="5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row>
    <row r="80" spans="1:108" s="1" customFormat="1" ht="20.149999999999999" customHeight="1" outlineLevel="2">
      <c r="A80" s="302" t="s">
        <v>322</v>
      </c>
      <c r="B80" s="235" t="s">
        <v>132</v>
      </c>
      <c r="C80" s="236" t="str">
        <f>VLOOKUP(A80, 'NZS O&amp;G and CA100'!$B$7:$D$194, 3, FALSE)</f>
        <v>Climate Solutions</v>
      </c>
      <c r="D80" s="310" t="str">
        <f>IF(INDEX('NZS O&amp;G and CA100'!$D$5:$D$193, MATCH($A80, 'NZS O&amp;G and CA100'!$B$5:$B$193, 0)) =$B$4, INDEX('NZS O&amp;G and CA100'!$E$5:$N$193, MATCH($A80, 'NZS O&amp;G and CA100'!$B$5:$B$193, 0),MATCH(D$3, 'NZS O&amp;G and CA100'!$E$3:$N$3, 0)),"")</f>
        <v/>
      </c>
      <c r="E80" s="311" t="str">
        <f>IF(INDEX('NZS O&amp;G and CA100'!$D$5:$D$193, MATCH($A80, 'NZS O&amp;G and CA100'!$B$5:$B$193, 0)) =$B$4, INDEX('NZS O&amp;G and CA100'!$E$5:$N$193, MATCH($A80, 'NZS O&amp;G and CA100'!$B$5:$B$193, 0),MATCH(E$3, 'NZS O&amp;G and CA100'!$E$3:$N$3, 0)),"")</f>
        <v/>
      </c>
      <c r="F80" s="311" t="str">
        <f>IF(INDEX('NZS O&amp;G and CA100'!$D$5:$D$193, MATCH($A80, 'NZS O&amp;G and CA100'!$B$5:$B$193, 0)) =$B$4, INDEX('NZS O&amp;G and CA100'!$E$5:$N$193, MATCH($A80, 'NZS O&amp;G and CA100'!$B$5:$B$193, 0),MATCH(F$3, 'NZS O&amp;G and CA100'!$E$3:$N$3, 0)),"")</f>
        <v/>
      </c>
      <c r="G80" s="311" t="str">
        <f>IF(INDEX('NZS O&amp;G and CA100'!$D$5:$D$193, MATCH($A80, 'NZS O&amp;G and CA100'!$B$5:$B$193, 0)) =$B$4, INDEX('NZS O&amp;G and CA100'!$E$5:$N$193, MATCH($A80, 'NZS O&amp;G and CA100'!$B$5:$B$193, 0),MATCH(G$3, 'NZS O&amp;G and CA100'!$E$3:$N$3, 0)),"")</f>
        <v/>
      </c>
      <c r="H80" s="311" t="str">
        <f>IF(INDEX('NZS O&amp;G and CA100'!$D$5:$D$193, MATCH($A80, 'NZS O&amp;G and CA100'!$B$5:$B$193, 0)) =$B$4, INDEX('NZS O&amp;G and CA100'!$E$5:$N$193, MATCH($A80, 'NZS O&amp;G and CA100'!$B$5:$B$193, 0),MATCH(H$3, 'NZS O&amp;G and CA100'!$E$3:$N$3, 0)),"")</f>
        <v/>
      </c>
      <c r="I80" s="311" t="str">
        <f>IF(INDEX('NZS O&amp;G and CA100'!$D$5:$D$193, MATCH($A80, 'NZS O&amp;G and CA100'!$B$5:$B$193, 0)) =$B$4, INDEX('NZS O&amp;G and CA100'!$E$5:$N$193, MATCH($A80, 'NZS O&amp;G and CA100'!$B$5:$B$193, 0),MATCH(I$3, 'NZS O&amp;G and CA100'!$E$3:$N$3, 0)),"")</f>
        <v/>
      </c>
      <c r="J80" s="311" t="str">
        <f>IF(INDEX('NZS O&amp;G and CA100'!$D$5:$D$193, MATCH($A80, 'NZS O&amp;G and CA100'!$B$5:$B$193, 0)) =$B$4, INDEX('NZS O&amp;G and CA100'!$E$5:$N$193, MATCH($A80, 'NZS O&amp;G and CA100'!$B$5:$B$193, 0),MATCH(J$3, 'NZS O&amp;G and CA100'!$E$3:$N$3, 0)),"")</f>
        <v/>
      </c>
      <c r="K80" s="311" t="str">
        <f>IF(INDEX('NZS O&amp;G and CA100'!$D$5:$D$193, MATCH($A80, 'NZS O&amp;G and CA100'!$B$5:$B$193, 0)) =$B$4, INDEX('NZS O&amp;G and CA100'!$E$5:$N$193, MATCH($A80, 'NZS O&amp;G and CA100'!$B$5:$B$193, 0),MATCH(K$3, 'NZS O&amp;G and CA100'!$E$3:$N$3, 0)),"")</f>
        <v/>
      </c>
      <c r="L80" s="311" t="str">
        <f>IF(INDEX('NZS O&amp;G and CA100'!$D$5:$D$193, MATCH($A80, 'NZS O&amp;G and CA100'!$B$5:$B$193, 0)) =$B$4, INDEX('NZS O&amp;G and CA100'!$E$5:$N$193, MATCH($A80, 'NZS O&amp;G and CA100'!$B$5:$B$193, 0),MATCH(L$3, 'NZS O&amp;G and CA100'!$E$3:$N$3, 0)),"")</f>
        <v/>
      </c>
      <c r="M80" s="312" t="str">
        <f>IF(INDEX('NZS O&amp;G and CA100'!$D$5:$D$193, MATCH($A80, 'NZS O&amp;G and CA100'!$B$5:$B$193, 0)) =$B$4, INDEX('NZS O&amp;G and CA100'!$E$5:$N$193, MATCH($A80, 'NZS O&amp;G and CA100'!$B$5:$B$193, 0),MATCH(M$3, 'NZS O&amp;G and CA100'!$E$3:$N$3, 0)),"")</f>
        <v/>
      </c>
      <c r="O80" s="55"/>
      <c r="P80" s="56"/>
      <c r="Q80" s="56"/>
      <c r="R80" s="56"/>
      <c r="S80" s="56"/>
      <c r="T80" s="56"/>
      <c r="U80" s="56"/>
      <c r="V80" s="56"/>
      <c r="W80" s="56"/>
      <c r="X80" s="57"/>
      <c r="Z80" s="55" t="str">
        <f>IF(INDEX('NZS O&amp;G and CA100'!$D$5:$D$193, MATCH($A80, 'NZS O&amp;G and CA100'!$B$5:$B$193, 0)) = "Solutions", INDEX('NZS O&amp;G and CA100'!$E$5:$N$193, MATCH($A80, 'NZS O&amp;G and CA100'!$B$5:$B$193, 0),MATCH(Z$4, 'NZS O&amp;G and CA100'!$E$3:$N$3, 0)),"")</f>
        <v/>
      </c>
      <c r="AA80" s="56" t="str">
        <f>IF(INDEX('NZS O&amp;G and CA100'!$D$5:$D$193, MATCH($A80, 'NZS O&amp;G and CA100'!$B$5:$B$193, 0)) = "Solutions", INDEX('NZS O&amp;G and CA100'!$E$5:$N$193, MATCH($A80, 'NZS O&amp;G and CA100'!$B$5:$B$193, 0),MATCH(AA$4, 'NZS O&amp;G and CA100'!$E$3:$N$3, 0)),"")</f>
        <v/>
      </c>
      <c r="AB80" s="56" t="str">
        <f>IF(INDEX('NZS O&amp;G and CA100'!$D$5:$D$193, MATCH($A80, 'NZS O&amp;G and CA100'!$B$5:$B$193, 0)) = "Solutions", INDEX('NZS O&amp;G and CA100'!$E$5:$N$193, MATCH($A80, 'NZS O&amp;G and CA100'!$B$5:$B$193, 0),MATCH(AB$4, 'NZS O&amp;G and CA100'!$E$3:$N$3, 0)),"")</f>
        <v/>
      </c>
      <c r="AC80" s="56" t="str">
        <f>IF(INDEX('NZS O&amp;G and CA100'!$D$5:$D$193, MATCH($A80, 'NZS O&amp;G and CA100'!$B$5:$B$193, 0)) = "Solutions", INDEX('NZS O&amp;G and CA100'!$E$5:$N$193, MATCH($A80, 'NZS O&amp;G and CA100'!$B$5:$B$193, 0),MATCH(AC$4, 'NZS O&amp;G and CA100'!$E$3:$N$3, 0)),"")</f>
        <v/>
      </c>
      <c r="AD80" s="56" t="str">
        <f>IF(INDEX('NZS O&amp;G and CA100'!$D$5:$D$193, MATCH($A80, 'NZS O&amp;G and CA100'!$B$5:$B$193, 0)) = "Solutions", INDEX('NZS O&amp;G and CA100'!$E$5:$N$193, MATCH($A80, 'NZS O&amp;G and CA100'!$B$5:$B$193, 0),MATCH(AD$4, 'NZS O&amp;G and CA100'!$E$3:$N$3, 0)),"")</f>
        <v/>
      </c>
      <c r="AE80" s="56" t="str">
        <f>IF(INDEX('NZS O&amp;G and CA100'!$D$5:$D$193, MATCH($A80, 'NZS O&amp;G and CA100'!$B$5:$B$193, 0)) = "Solutions", INDEX('NZS O&amp;G and CA100'!$E$5:$N$193, MATCH($A80, 'NZS O&amp;G and CA100'!$B$5:$B$193, 0),MATCH(AE$4, 'NZS O&amp;G and CA100'!$E$3:$N$3, 0)),"")</f>
        <v/>
      </c>
      <c r="AF80" s="56" t="str">
        <f>IF(INDEX('NZS O&amp;G and CA100'!$D$5:$D$193, MATCH($A80, 'NZS O&amp;G and CA100'!$B$5:$B$193, 0)) = "Solutions", INDEX('NZS O&amp;G and CA100'!$E$5:$N$193, MATCH($A80, 'NZS O&amp;G and CA100'!$B$5:$B$193, 0),MATCH(AF$4, 'NZS O&amp;G and CA100'!$E$3:$N$3, 0)),"")</f>
        <v/>
      </c>
      <c r="AG80" s="56" t="str">
        <f>IF(INDEX('NZS O&amp;G and CA100'!$D$5:$D$193, MATCH($A80, 'NZS O&amp;G and CA100'!$B$5:$B$193, 0)) = "Solutions", INDEX('NZS O&amp;G and CA100'!$E$5:$N$193, MATCH($A80, 'NZS O&amp;G and CA100'!$B$5:$B$193, 0),MATCH(AG$4, 'NZS O&amp;G and CA100'!$E$3:$N$3, 0)),"")</f>
        <v/>
      </c>
      <c r="AH80" s="56" t="str">
        <f>IF(INDEX('NZS O&amp;G and CA100'!$D$5:$D$193, MATCH($A80, 'NZS O&amp;G and CA100'!$B$5:$B$193, 0)) = "Solutions", INDEX('NZS O&amp;G and CA100'!$E$5:$N$193, MATCH($A80, 'NZS O&amp;G and CA100'!$B$5:$B$193, 0),MATCH(AH$4, 'NZS O&amp;G and CA100'!$E$3:$N$3, 0)),"")</f>
        <v/>
      </c>
      <c r="AI80" s="57" t="str">
        <f>IF(INDEX('NZS O&amp;G and CA100'!$D$5:$D$193, MATCH($A80, 'NZS O&amp;G and CA100'!$B$5:$B$193, 0)) = "Solutions", INDEX('NZS O&amp;G and CA100'!$E$5:$N$193, MATCH($A80, 'NZS O&amp;G and CA100'!$B$5:$B$193, 0),MATCH(AI$4, 'NZS O&amp;G and CA100'!$E$3:$N$3, 0)),"")</f>
        <v/>
      </c>
      <c r="AK80" s="49"/>
      <c r="AL80" s="49"/>
      <c r="AM80" s="49"/>
      <c r="AN80" s="49"/>
      <c r="AO80" s="49"/>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row>
    <row r="81" spans="1:108" s="1" customFormat="1" ht="20.149999999999999" customHeight="1" outlineLevel="2">
      <c r="A81" s="302" t="s">
        <v>323</v>
      </c>
      <c r="B81" s="235" t="s">
        <v>133</v>
      </c>
      <c r="C81" s="236" t="str">
        <f>VLOOKUP(A81, 'NZS O&amp;G and CA100'!$B$7:$D$194, 3, FALSE)</f>
        <v>Climate Solutions</v>
      </c>
      <c r="D81" s="310" t="str">
        <f>IF(INDEX('NZS O&amp;G and CA100'!$D$5:$D$193, MATCH($A81, 'NZS O&amp;G and CA100'!$B$5:$B$193, 0)) =$B$4, INDEX('NZS O&amp;G and CA100'!$E$5:$N$193, MATCH($A81, 'NZS O&amp;G and CA100'!$B$5:$B$193, 0),MATCH(D$3, 'NZS O&amp;G and CA100'!$E$3:$N$3, 0)),"")</f>
        <v/>
      </c>
      <c r="E81" s="311" t="str">
        <f>IF(INDEX('NZS O&amp;G and CA100'!$D$5:$D$193, MATCH($A81, 'NZS O&amp;G and CA100'!$B$5:$B$193, 0)) =$B$4, INDEX('NZS O&amp;G and CA100'!$E$5:$N$193, MATCH($A81, 'NZS O&amp;G and CA100'!$B$5:$B$193, 0),MATCH(E$3, 'NZS O&amp;G and CA100'!$E$3:$N$3, 0)),"")</f>
        <v/>
      </c>
      <c r="F81" s="311" t="str">
        <f>IF(INDEX('NZS O&amp;G and CA100'!$D$5:$D$193, MATCH($A81, 'NZS O&amp;G and CA100'!$B$5:$B$193, 0)) =$B$4, INDEX('NZS O&amp;G and CA100'!$E$5:$N$193, MATCH($A81, 'NZS O&amp;G and CA100'!$B$5:$B$193, 0),MATCH(F$3, 'NZS O&amp;G and CA100'!$E$3:$N$3, 0)),"")</f>
        <v/>
      </c>
      <c r="G81" s="311" t="str">
        <f>IF(INDEX('NZS O&amp;G and CA100'!$D$5:$D$193, MATCH($A81, 'NZS O&amp;G and CA100'!$B$5:$B$193, 0)) =$B$4, INDEX('NZS O&amp;G and CA100'!$E$5:$N$193, MATCH($A81, 'NZS O&amp;G and CA100'!$B$5:$B$193, 0),MATCH(G$3, 'NZS O&amp;G and CA100'!$E$3:$N$3, 0)),"")</f>
        <v/>
      </c>
      <c r="H81" s="311" t="str">
        <f>IF(INDEX('NZS O&amp;G and CA100'!$D$5:$D$193, MATCH($A81, 'NZS O&amp;G and CA100'!$B$5:$B$193, 0)) =$B$4, INDEX('NZS O&amp;G and CA100'!$E$5:$N$193, MATCH($A81, 'NZS O&amp;G and CA100'!$B$5:$B$193, 0),MATCH(H$3, 'NZS O&amp;G and CA100'!$E$3:$N$3, 0)),"")</f>
        <v/>
      </c>
      <c r="I81" s="311" t="str">
        <f>IF(INDEX('NZS O&amp;G and CA100'!$D$5:$D$193, MATCH($A81, 'NZS O&amp;G and CA100'!$B$5:$B$193, 0)) =$B$4, INDEX('NZS O&amp;G and CA100'!$E$5:$N$193, MATCH($A81, 'NZS O&amp;G and CA100'!$B$5:$B$193, 0),MATCH(I$3, 'NZS O&amp;G and CA100'!$E$3:$N$3, 0)),"")</f>
        <v/>
      </c>
      <c r="J81" s="311" t="str">
        <f>IF(INDEX('NZS O&amp;G and CA100'!$D$5:$D$193, MATCH($A81, 'NZS O&amp;G and CA100'!$B$5:$B$193, 0)) =$B$4, INDEX('NZS O&amp;G and CA100'!$E$5:$N$193, MATCH($A81, 'NZS O&amp;G and CA100'!$B$5:$B$193, 0),MATCH(J$3, 'NZS O&amp;G and CA100'!$E$3:$N$3, 0)),"")</f>
        <v/>
      </c>
      <c r="K81" s="311" t="str">
        <f>IF(INDEX('NZS O&amp;G and CA100'!$D$5:$D$193, MATCH($A81, 'NZS O&amp;G and CA100'!$B$5:$B$193, 0)) =$B$4, INDEX('NZS O&amp;G and CA100'!$E$5:$N$193, MATCH($A81, 'NZS O&amp;G and CA100'!$B$5:$B$193, 0),MATCH(K$3, 'NZS O&amp;G and CA100'!$E$3:$N$3, 0)),"")</f>
        <v/>
      </c>
      <c r="L81" s="311" t="str">
        <f>IF(INDEX('NZS O&amp;G and CA100'!$D$5:$D$193, MATCH($A81, 'NZS O&amp;G and CA100'!$B$5:$B$193, 0)) =$B$4, INDEX('NZS O&amp;G and CA100'!$E$5:$N$193, MATCH($A81, 'NZS O&amp;G and CA100'!$B$5:$B$193, 0),MATCH(L$3, 'NZS O&amp;G and CA100'!$E$3:$N$3, 0)),"")</f>
        <v/>
      </c>
      <c r="M81" s="312" t="str">
        <f>IF(INDEX('NZS O&amp;G and CA100'!$D$5:$D$193, MATCH($A81, 'NZS O&amp;G and CA100'!$B$5:$B$193, 0)) =$B$4, INDEX('NZS O&amp;G and CA100'!$E$5:$N$193, MATCH($A81, 'NZS O&amp;G and CA100'!$B$5:$B$193, 0),MATCH(M$3, 'NZS O&amp;G and CA100'!$E$3:$N$3, 0)),"")</f>
        <v/>
      </c>
      <c r="O81" s="55"/>
      <c r="P81" s="56"/>
      <c r="Q81" s="56"/>
      <c r="R81" s="56"/>
      <c r="S81" s="56"/>
      <c r="T81" s="56"/>
      <c r="U81" s="56"/>
      <c r="V81" s="56"/>
      <c r="W81" s="56"/>
      <c r="X81" s="57"/>
      <c r="Z81" s="55" t="str">
        <f>IF(INDEX('NZS O&amp;G and CA100'!$D$5:$D$193, MATCH($A81, 'NZS O&amp;G and CA100'!$B$5:$B$193, 0)) = "Solutions", INDEX('NZS O&amp;G and CA100'!$E$5:$N$193, MATCH($A81, 'NZS O&amp;G and CA100'!$B$5:$B$193, 0),MATCH(Z$4, 'NZS O&amp;G and CA100'!$E$3:$N$3, 0)),"")</f>
        <v/>
      </c>
      <c r="AA81" s="56" t="str">
        <f>IF(INDEX('NZS O&amp;G and CA100'!$D$5:$D$193, MATCH($A81, 'NZS O&amp;G and CA100'!$B$5:$B$193, 0)) = "Solutions", INDEX('NZS O&amp;G and CA100'!$E$5:$N$193, MATCH($A81, 'NZS O&amp;G and CA100'!$B$5:$B$193, 0),MATCH(AA$4, 'NZS O&amp;G and CA100'!$E$3:$N$3, 0)),"")</f>
        <v/>
      </c>
      <c r="AB81" s="56" t="str">
        <f>IF(INDEX('NZS O&amp;G and CA100'!$D$5:$D$193, MATCH($A81, 'NZS O&amp;G and CA100'!$B$5:$B$193, 0)) = "Solutions", INDEX('NZS O&amp;G and CA100'!$E$5:$N$193, MATCH($A81, 'NZS O&amp;G and CA100'!$B$5:$B$193, 0),MATCH(AB$4, 'NZS O&amp;G and CA100'!$E$3:$N$3, 0)),"")</f>
        <v/>
      </c>
      <c r="AC81" s="56" t="str">
        <f>IF(INDEX('NZS O&amp;G and CA100'!$D$5:$D$193, MATCH($A81, 'NZS O&amp;G and CA100'!$B$5:$B$193, 0)) = "Solutions", INDEX('NZS O&amp;G and CA100'!$E$5:$N$193, MATCH($A81, 'NZS O&amp;G and CA100'!$B$5:$B$193, 0),MATCH(AC$4, 'NZS O&amp;G and CA100'!$E$3:$N$3, 0)),"")</f>
        <v/>
      </c>
      <c r="AD81" s="56" t="str">
        <f>IF(INDEX('NZS O&amp;G and CA100'!$D$5:$D$193, MATCH($A81, 'NZS O&amp;G and CA100'!$B$5:$B$193, 0)) = "Solutions", INDEX('NZS O&amp;G and CA100'!$E$5:$N$193, MATCH($A81, 'NZS O&amp;G and CA100'!$B$5:$B$193, 0),MATCH(AD$4, 'NZS O&amp;G and CA100'!$E$3:$N$3, 0)),"")</f>
        <v/>
      </c>
      <c r="AE81" s="56" t="str">
        <f>IF(INDEX('NZS O&amp;G and CA100'!$D$5:$D$193, MATCH($A81, 'NZS O&amp;G and CA100'!$B$5:$B$193, 0)) = "Solutions", INDEX('NZS O&amp;G and CA100'!$E$5:$N$193, MATCH($A81, 'NZS O&amp;G and CA100'!$B$5:$B$193, 0),MATCH(AE$4, 'NZS O&amp;G and CA100'!$E$3:$N$3, 0)),"")</f>
        <v/>
      </c>
      <c r="AF81" s="56" t="str">
        <f>IF(INDEX('NZS O&amp;G and CA100'!$D$5:$D$193, MATCH($A81, 'NZS O&amp;G and CA100'!$B$5:$B$193, 0)) = "Solutions", INDEX('NZS O&amp;G and CA100'!$E$5:$N$193, MATCH($A81, 'NZS O&amp;G and CA100'!$B$5:$B$193, 0),MATCH(AF$4, 'NZS O&amp;G and CA100'!$E$3:$N$3, 0)),"")</f>
        <v/>
      </c>
      <c r="AG81" s="56" t="str">
        <f>IF(INDEX('NZS O&amp;G and CA100'!$D$5:$D$193, MATCH($A81, 'NZS O&amp;G and CA100'!$B$5:$B$193, 0)) = "Solutions", INDEX('NZS O&amp;G and CA100'!$E$5:$N$193, MATCH($A81, 'NZS O&amp;G and CA100'!$B$5:$B$193, 0),MATCH(AG$4, 'NZS O&amp;G and CA100'!$E$3:$N$3, 0)),"")</f>
        <v/>
      </c>
      <c r="AH81" s="56" t="str">
        <f>IF(INDEX('NZS O&amp;G and CA100'!$D$5:$D$193, MATCH($A81, 'NZS O&amp;G and CA100'!$B$5:$B$193, 0)) = "Solutions", INDEX('NZS O&amp;G and CA100'!$E$5:$N$193, MATCH($A81, 'NZS O&amp;G and CA100'!$B$5:$B$193, 0),MATCH(AH$4, 'NZS O&amp;G and CA100'!$E$3:$N$3, 0)),"")</f>
        <v/>
      </c>
      <c r="AI81" s="57" t="str">
        <f>IF(INDEX('NZS O&amp;G and CA100'!$D$5:$D$193, MATCH($A81, 'NZS O&amp;G and CA100'!$B$5:$B$193, 0)) = "Solutions", INDEX('NZS O&amp;G and CA100'!$E$5:$N$193, MATCH($A81, 'NZS O&amp;G and CA100'!$B$5:$B$193, 0),MATCH(AI$4, 'NZS O&amp;G and CA100'!$E$3:$N$3, 0)),"")</f>
        <v/>
      </c>
      <c r="AK81" s="49"/>
      <c r="AL81" s="49"/>
      <c r="AM81" s="49"/>
      <c r="AN81" s="49"/>
      <c r="AO81" s="49"/>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row>
    <row r="82" spans="1:108" s="1" customFormat="1" ht="20.149999999999999" customHeight="1" outlineLevel="1">
      <c r="A82" s="302" t="s">
        <v>134</v>
      </c>
      <c r="B82" s="239" t="s">
        <v>135</v>
      </c>
      <c r="C82" s="65"/>
      <c r="D82" s="310">
        <f>IF($B$4="Alignment",D89,IF($B$4="Climate Solutions","",(SUM(D83:D88)/COUNT(D83:D88))))</f>
        <v>0.5</v>
      </c>
      <c r="E82" s="311">
        <f t="shared" ref="E82:M82" si="25">IF($B$4="Alignment",E89,IF($B$4="Climate Solutions","",(SUM(E83:E88)/COUNT(E83:E88))))</f>
        <v>0.16666666666666666</v>
      </c>
      <c r="F82" s="311">
        <f t="shared" si="25"/>
        <v>0.5</v>
      </c>
      <c r="G82" s="311">
        <f t="shared" si="25"/>
        <v>0.33333333333333331</v>
      </c>
      <c r="H82" s="311">
        <f t="shared" si="25"/>
        <v>0.16666666666666666</v>
      </c>
      <c r="I82" s="311">
        <f t="shared" si="25"/>
        <v>0.33333333333333331</v>
      </c>
      <c r="J82" s="311">
        <f t="shared" si="25"/>
        <v>0.33333333333333331</v>
      </c>
      <c r="K82" s="311">
        <f t="shared" si="25"/>
        <v>0.33333333333333331</v>
      </c>
      <c r="L82" s="311">
        <f t="shared" si="25"/>
        <v>0</v>
      </c>
      <c r="M82" s="312">
        <f t="shared" si="25"/>
        <v>0.66666666666666663</v>
      </c>
      <c r="O82" s="185" t="str">
        <f>O89</f>
        <v>Under development</v>
      </c>
      <c r="P82" s="186" t="str">
        <f t="shared" ref="P82:X82" si="26">P89</f>
        <v>Under development</v>
      </c>
      <c r="Q82" s="186" t="str">
        <f t="shared" si="26"/>
        <v>Under development</v>
      </c>
      <c r="R82" s="186" t="str">
        <f t="shared" si="26"/>
        <v>Under development</v>
      </c>
      <c r="S82" s="186" t="str">
        <f t="shared" si="26"/>
        <v>Under development</v>
      </c>
      <c r="T82" s="186" t="str">
        <f t="shared" si="26"/>
        <v>Under development</v>
      </c>
      <c r="U82" s="186" t="str">
        <f t="shared" si="26"/>
        <v>Under development</v>
      </c>
      <c r="V82" s="186" t="str">
        <f t="shared" si="26"/>
        <v>Under development</v>
      </c>
      <c r="W82" s="186" t="str">
        <f t="shared" si="26"/>
        <v>Under development</v>
      </c>
      <c r="X82" s="187" t="str">
        <f t="shared" si="26"/>
        <v>Under development</v>
      </c>
      <c r="Z82" s="55"/>
      <c r="AA82" s="56"/>
      <c r="AB82" s="56"/>
      <c r="AC82" s="56"/>
      <c r="AD82" s="56"/>
      <c r="AE82" s="56"/>
      <c r="AF82" s="56"/>
      <c r="AG82" s="56"/>
      <c r="AH82" s="56"/>
      <c r="AI82" s="57"/>
      <c r="AK82" s="49"/>
      <c r="AL82" s="49"/>
      <c r="AM82" s="49"/>
      <c r="AN82" s="49"/>
      <c r="AO82" s="49"/>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row>
    <row r="83" spans="1:108" s="1" customFormat="1" ht="20.149999999999999" customHeight="1" outlineLevel="2">
      <c r="A83" s="302" t="s">
        <v>324</v>
      </c>
      <c r="B83" s="240" t="s">
        <v>136</v>
      </c>
      <c r="C83" s="236" t="str">
        <f>VLOOKUP(A83, 'NZS O&amp;G and CA100'!$B$7:$D$194, 3, FALSE)</f>
        <v>Disclosure</v>
      </c>
      <c r="D83" s="310">
        <f>IF(INDEX('NZS O&amp;G and CA100'!$D$5:$D$193, MATCH($A83, 'NZS O&amp;G and CA100'!$B$5:$B$193, 0)) =$B$4, INDEX('NZS O&amp;G and CA100'!$E$5:$N$193, MATCH($A83, 'NZS O&amp;G and CA100'!$B$5:$B$193, 0),MATCH(D$3, 'NZS O&amp;G and CA100'!$E$3:$N$3, 0)),"")</f>
        <v>1</v>
      </c>
      <c r="E83" s="311">
        <f>IF(INDEX('NZS O&amp;G and CA100'!$D$5:$D$193, MATCH($A83, 'NZS O&amp;G and CA100'!$B$5:$B$193, 0)) =$B$4, INDEX('NZS O&amp;G and CA100'!$E$5:$N$193, MATCH($A83, 'NZS O&amp;G and CA100'!$B$5:$B$193, 0),MATCH(E$3, 'NZS O&amp;G and CA100'!$E$3:$N$3, 0)),"")</f>
        <v>0</v>
      </c>
      <c r="F83" s="311">
        <f>IF(INDEX('NZS O&amp;G and CA100'!$D$5:$D$193, MATCH($A83, 'NZS O&amp;G and CA100'!$B$5:$B$193, 0)) =$B$4, INDEX('NZS O&amp;G and CA100'!$E$5:$N$193, MATCH($A83, 'NZS O&amp;G and CA100'!$B$5:$B$193, 0),MATCH(F$3, 'NZS O&amp;G and CA100'!$E$3:$N$3, 0)),"")</f>
        <v>1</v>
      </c>
      <c r="G83" s="311">
        <f>IF(INDEX('NZS O&amp;G and CA100'!$D$5:$D$193, MATCH($A83, 'NZS O&amp;G and CA100'!$B$5:$B$193, 0)) =$B$4, INDEX('NZS O&amp;G and CA100'!$E$5:$N$193, MATCH($A83, 'NZS O&amp;G and CA100'!$B$5:$B$193, 0),MATCH(G$3, 'NZS O&amp;G and CA100'!$E$3:$N$3, 0)),"")</f>
        <v>1</v>
      </c>
      <c r="H83" s="311">
        <f>IF(INDEX('NZS O&amp;G and CA100'!$D$5:$D$193, MATCH($A83, 'NZS O&amp;G and CA100'!$B$5:$B$193, 0)) =$B$4, INDEX('NZS O&amp;G and CA100'!$E$5:$N$193, MATCH($A83, 'NZS O&amp;G and CA100'!$B$5:$B$193, 0),MATCH(H$3, 'NZS O&amp;G and CA100'!$E$3:$N$3, 0)),"")</f>
        <v>0</v>
      </c>
      <c r="I83" s="311">
        <f>IF(INDEX('NZS O&amp;G and CA100'!$D$5:$D$193, MATCH($A83, 'NZS O&amp;G and CA100'!$B$5:$B$193, 0)) =$B$4, INDEX('NZS O&amp;G and CA100'!$E$5:$N$193, MATCH($A83, 'NZS O&amp;G and CA100'!$B$5:$B$193, 0),MATCH(I$3, 'NZS O&amp;G and CA100'!$E$3:$N$3, 0)),"")</f>
        <v>1</v>
      </c>
      <c r="J83" s="311">
        <f>IF(INDEX('NZS O&amp;G and CA100'!$D$5:$D$193, MATCH($A83, 'NZS O&amp;G and CA100'!$B$5:$B$193, 0)) =$B$4, INDEX('NZS O&amp;G and CA100'!$E$5:$N$193, MATCH($A83, 'NZS O&amp;G and CA100'!$B$5:$B$193, 0),MATCH(J$3, 'NZS O&amp;G and CA100'!$E$3:$N$3, 0)),"")</f>
        <v>1</v>
      </c>
      <c r="K83" s="311">
        <f>IF(INDEX('NZS O&amp;G and CA100'!$D$5:$D$193, MATCH($A83, 'NZS O&amp;G and CA100'!$B$5:$B$193, 0)) =$B$4, INDEX('NZS O&amp;G and CA100'!$E$5:$N$193, MATCH($A83, 'NZS O&amp;G and CA100'!$B$5:$B$193, 0),MATCH(K$3, 'NZS O&amp;G and CA100'!$E$3:$N$3, 0)),"")</f>
        <v>1</v>
      </c>
      <c r="L83" s="311">
        <f>IF(INDEX('NZS O&amp;G and CA100'!$D$5:$D$193, MATCH($A83, 'NZS O&amp;G and CA100'!$B$5:$B$193, 0)) =$B$4, INDEX('NZS O&amp;G and CA100'!$E$5:$N$193, MATCH($A83, 'NZS O&amp;G and CA100'!$B$5:$B$193, 0),MATCH(L$3, 'NZS O&amp;G and CA100'!$E$3:$N$3, 0)),"")</f>
        <v>0</v>
      </c>
      <c r="M83" s="312">
        <f>IF(INDEX('NZS O&amp;G and CA100'!$D$5:$D$193, MATCH($A83, 'NZS O&amp;G and CA100'!$B$5:$B$193, 0)) =$B$4, INDEX('NZS O&amp;G and CA100'!$E$5:$N$193, MATCH($A83, 'NZS O&amp;G and CA100'!$B$5:$B$193, 0),MATCH(M$3, 'NZS O&amp;G and CA100'!$E$3:$N$3, 0)),"")</f>
        <v>1</v>
      </c>
      <c r="O83" s="55" t="str">
        <f>IF(INDEX('NZS O&amp;G and CA100'!$D$5:$D$193, MATCH($A83, 'NZS O&amp;G and CA100'!$B$5:$B$193, 0)) = "Alignment", INDEX('NZS O&amp;G and CA100'!$E$5:$N$193, MATCH($A83, 'NZS O&amp;G and CA100'!$B$5:$B$193, 0),MATCH(O$4, 'NZS O&amp;G and CA100'!$E$3:$N$3, 0)),"")</f>
        <v/>
      </c>
      <c r="P83" s="56" t="str">
        <f>IF(INDEX('NZS O&amp;G and CA100'!$D$5:$D$193, MATCH($A83, 'NZS O&amp;G and CA100'!$B$5:$B$193, 0)) = "Alignment", INDEX('NZS O&amp;G and CA100'!$E$5:$N$193, MATCH($A83, 'NZS O&amp;G and CA100'!$B$5:$B$193, 0),MATCH(P$4, 'NZS O&amp;G and CA100'!$E$3:$N$3, 0)),"")</f>
        <v/>
      </c>
      <c r="Q83" s="56" t="str">
        <f>IF(INDEX('NZS O&amp;G and CA100'!$D$5:$D$193, MATCH($A83, 'NZS O&amp;G and CA100'!$B$5:$B$193, 0)) = "Alignment", INDEX('NZS O&amp;G and CA100'!$E$5:$N$193, MATCH($A83, 'NZS O&amp;G and CA100'!$B$5:$B$193, 0),MATCH(Q$4, 'NZS O&amp;G and CA100'!$E$3:$N$3, 0)),"")</f>
        <v/>
      </c>
      <c r="R83" s="56" t="str">
        <f>IF(INDEX('NZS O&amp;G and CA100'!$D$5:$D$193, MATCH($A83, 'NZS O&amp;G and CA100'!$B$5:$B$193, 0)) = "Alignment", INDEX('NZS O&amp;G and CA100'!$E$5:$N$193, MATCH($A83, 'NZS O&amp;G and CA100'!$B$5:$B$193, 0),MATCH(R$4, 'NZS O&amp;G and CA100'!$E$3:$N$3, 0)),"")</f>
        <v/>
      </c>
      <c r="S83" s="56" t="str">
        <f>IF(INDEX('NZS O&amp;G and CA100'!$D$5:$D$193, MATCH($A83, 'NZS O&amp;G and CA100'!$B$5:$B$193, 0)) = "Alignment", INDEX('NZS O&amp;G and CA100'!$E$5:$N$193, MATCH($A83, 'NZS O&amp;G and CA100'!$B$5:$B$193, 0),MATCH(S$4, 'NZS O&amp;G and CA100'!$E$3:$N$3, 0)),"")</f>
        <v/>
      </c>
      <c r="T83" s="56" t="str">
        <f>IF(INDEX('NZS O&amp;G and CA100'!$D$5:$D$193, MATCH($A83, 'NZS O&amp;G and CA100'!$B$5:$B$193, 0)) = "Alignment", INDEX('NZS O&amp;G and CA100'!$E$5:$N$193, MATCH($A83, 'NZS O&amp;G and CA100'!$B$5:$B$193, 0),MATCH(T$4, 'NZS O&amp;G and CA100'!$E$3:$N$3, 0)),"")</f>
        <v/>
      </c>
      <c r="U83" s="56" t="str">
        <f>IF(INDEX('NZS O&amp;G and CA100'!$D$5:$D$193, MATCH($A83, 'NZS O&amp;G and CA100'!$B$5:$B$193, 0)) = "Alignment", INDEX('NZS O&amp;G and CA100'!$E$5:$N$193, MATCH($A83, 'NZS O&amp;G and CA100'!$B$5:$B$193, 0),MATCH(U$4, 'NZS O&amp;G and CA100'!$E$3:$N$3, 0)),"")</f>
        <v/>
      </c>
      <c r="V83" s="56" t="str">
        <f>IF(INDEX('NZS O&amp;G and CA100'!$D$5:$D$193, MATCH($A83, 'NZS O&amp;G and CA100'!$B$5:$B$193, 0)) = "Alignment", INDEX('NZS O&amp;G and CA100'!$E$5:$N$193, MATCH($A83, 'NZS O&amp;G and CA100'!$B$5:$B$193, 0),MATCH(V$4, 'NZS O&amp;G and CA100'!$E$3:$N$3, 0)),"")</f>
        <v/>
      </c>
      <c r="W83" s="56" t="str">
        <f>IF(INDEX('NZS O&amp;G and CA100'!$D$5:$D$193, MATCH($A83, 'NZS O&amp;G and CA100'!$B$5:$B$193, 0)) = "Alignment", INDEX('NZS O&amp;G and CA100'!$E$5:$N$193, MATCH($A83, 'NZS O&amp;G and CA100'!$B$5:$B$193, 0),MATCH(L$3, 'NZS O&amp;G and CA100'!$E$3:$N$3, 0)),"")</f>
        <v/>
      </c>
      <c r="X83" s="57" t="str">
        <f>IF(INDEX('NZS O&amp;G and CA100'!$D$5:$D$193, MATCH($A83, 'NZS O&amp;G and CA100'!$B$5:$B$193, 0)) = "Alignment", INDEX('NZS O&amp;G and CA100'!$E$5:$N$193, MATCH($A83, 'NZS O&amp;G and CA100'!$B$5:$B$193, 0),MATCH(M$3, 'NZS O&amp;G and CA100'!$E$3:$N$3, 0)),"")</f>
        <v/>
      </c>
      <c r="Z83" s="55"/>
      <c r="AA83" s="56"/>
      <c r="AB83" s="56"/>
      <c r="AC83" s="56"/>
      <c r="AD83" s="56"/>
      <c r="AE83" s="56"/>
      <c r="AF83" s="56"/>
      <c r="AG83" s="56"/>
      <c r="AH83" s="56"/>
      <c r="AI83" s="57"/>
      <c r="AK83" s="49"/>
      <c r="AL83" s="49"/>
      <c r="AM83" s="49"/>
      <c r="AN83" s="49"/>
      <c r="AO83" s="49"/>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row>
    <row r="84" spans="1:108" s="50" customFormat="1" ht="17.149999999999999" customHeight="1" outlineLevel="2">
      <c r="A84" s="302" t="s">
        <v>325</v>
      </c>
      <c r="B84" s="240" t="s">
        <v>137</v>
      </c>
      <c r="C84" s="236" t="str">
        <f>VLOOKUP(A84, 'NZS O&amp;G and CA100'!$B$7:$D$194, 3, FALSE)</f>
        <v>Disclosure</v>
      </c>
      <c r="D84" s="310">
        <f>IF(INDEX('NZS O&amp;G and CA100'!$D$5:$D$193, MATCH($A84, 'NZS O&amp;G and CA100'!$B$5:$B$193, 0)) =$B$4, INDEX('NZS O&amp;G and CA100'!$E$5:$N$193, MATCH($A84, 'NZS O&amp;G and CA100'!$B$5:$B$193, 0),MATCH(D$3, 'NZS O&amp;G and CA100'!$E$3:$N$3, 0)),"")</f>
        <v>0</v>
      </c>
      <c r="E84" s="311">
        <f>IF(INDEX('NZS O&amp;G and CA100'!$D$5:$D$193, MATCH($A84, 'NZS O&amp;G and CA100'!$B$5:$B$193, 0)) =$B$4, INDEX('NZS O&amp;G and CA100'!$E$5:$N$193, MATCH($A84, 'NZS O&amp;G and CA100'!$B$5:$B$193, 0),MATCH(E$3, 'NZS O&amp;G and CA100'!$E$3:$N$3, 0)),"")</f>
        <v>0</v>
      </c>
      <c r="F84" s="311">
        <f>IF(INDEX('NZS O&amp;G and CA100'!$D$5:$D$193, MATCH($A84, 'NZS O&amp;G and CA100'!$B$5:$B$193, 0)) =$B$4, INDEX('NZS O&amp;G and CA100'!$E$5:$N$193, MATCH($A84, 'NZS O&amp;G and CA100'!$B$5:$B$193, 0),MATCH(F$3, 'NZS O&amp;G and CA100'!$E$3:$N$3, 0)),"")</f>
        <v>0</v>
      </c>
      <c r="G84" s="311">
        <f>IF(INDEX('NZS O&amp;G and CA100'!$D$5:$D$193, MATCH($A84, 'NZS O&amp;G and CA100'!$B$5:$B$193, 0)) =$B$4, INDEX('NZS O&amp;G and CA100'!$E$5:$N$193, MATCH($A84, 'NZS O&amp;G and CA100'!$B$5:$B$193, 0),MATCH(G$3, 'NZS O&amp;G and CA100'!$E$3:$N$3, 0)),"")</f>
        <v>0</v>
      </c>
      <c r="H84" s="311">
        <f>IF(INDEX('NZS O&amp;G and CA100'!$D$5:$D$193, MATCH($A84, 'NZS O&amp;G and CA100'!$B$5:$B$193, 0)) =$B$4, INDEX('NZS O&amp;G and CA100'!$E$5:$N$193, MATCH($A84, 'NZS O&amp;G and CA100'!$B$5:$B$193, 0),MATCH(H$3, 'NZS O&amp;G and CA100'!$E$3:$N$3, 0)),"")</f>
        <v>0</v>
      </c>
      <c r="I84" s="311">
        <f>IF(INDEX('NZS O&amp;G and CA100'!$D$5:$D$193, MATCH($A84, 'NZS O&amp;G and CA100'!$B$5:$B$193, 0)) =$B$4, INDEX('NZS O&amp;G and CA100'!$E$5:$N$193, MATCH($A84, 'NZS O&amp;G and CA100'!$B$5:$B$193, 0),MATCH(I$3, 'NZS O&amp;G and CA100'!$E$3:$N$3, 0)),"")</f>
        <v>0</v>
      </c>
      <c r="J84" s="311">
        <f>IF(INDEX('NZS O&amp;G and CA100'!$D$5:$D$193, MATCH($A84, 'NZS O&amp;G and CA100'!$B$5:$B$193, 0)) =$B$4, INDEX('NZS O&amp;G and CA100'!$E$5:$N$193, MATCH($A84, 'NZS O&amp;G and CA100'!$B$5:$B$193, 0),MATCH(J$3, 'NZS O&amp;G and CA100'!$E$3:$N$3, 0)),"")</f>
        <v>0</v>
      </c>
      <c r="K84" s="311">
        <f>IF(INDEX('NZS O&amp;G and CA100'!$D$5:$D$193, MATCH($A84, 'NZS O&amp;G and CA100'!$B$5:$B$193, 0)) =$B$4, INDEX('NZS O&amp;G and CA100'!$E$5:$N$193, MATCH($A84, 'NZS O&amp;G and CA100'!$B$5:$B$193, 0),MATCH(K$3, 'NZS O&amp;G and CA100'!$E$3:$N$3, 0)),"")</f>
        <v>0</v>
      </c>
      <c r="L84" s="311">
        <f>IF(INDEX('NZS O&amp;G and CA100'!$D$5:$D$193, MATCH($A84, 'NZS O&amp;G and CA100'!$B$5:$B$193, 0)) =$B$4, INDEX('NZS O&amp;G and CA100'!$E$5:$N$193, MATCH($A84, 'NZS O&amp;G and CA100'!$B$5:$B$193, 0),MATCH(L$3, 'NZS O&amp;G and CA100'!$E$3:$N$3, 0)),"")</f>
        <v>0</v>
      </c>
      <c r="M84" s="312">
        <f>IF(INDEX('NZS O&amp;G and CA100'!$D$5:$D$193, MATCH($A84, 'NZS O&amp;G and CA100'!$B$5:$B$193, 0)) =$B$4, INDEX('NZS O&amp;G and CA100'!$E$5:$N$193, MATCH($A84, 'NZS O&amp;G and CA100'!$B$5:$B$193, 0),MATCH(M$3, 'NZS O&amp;G and CA100'!$E$3:$N$3, 0)),"")</f>
        <v>0</v>
      </c>
      <c r="N84" s="1"/>
      <c r="O84" s="55" t="str">
        <f>IF(INDEX('NZS O&amp;G and CA100'!$D$5:$D$193, MATCH($A84, 'NZS O&amp;G and CA100'!$B$5:$B$193, 0)) = "Alignment", INDEX('NZS O&amp;G and CA100'!$E$5:$N$193, MATCH($A84, 'NZS O&amp;G and CA100'!$B$5:$B$193, 0),MATCH(O$4, 'NZS O&amp;G and CA100'!$E$3:$N$3, 0)),"")</f>
        <v/>
      </c>
      <c r="P84" s="56" t="str">
        <f>IF(INDEX('NZS O&amp;G and CA100'!$D$5:$D$193, MATCH($A84, 'NZS O&amp;G and CA100'!$B$5:$B$193, 0)) = "Alignment", INDEX('NZS O&amp;G and CA100'!$E$5:$N$193, MATCH($A84, 'NZS O&amp;G and CA100'!$B$5:$B$193, 0),MATCH(P$4, 'NZS O&amp;G and CA100'!$E$3:$N$3, 0)),"")</f>
        <v/>
      </c>
      <c r="Q84" s="56" t="str">
        <f>IF(INDEX('NZS O&amp;G and CA100'!$D$5:$D$193, MATCH($A84, 'NZS O&amp;G and CA100'!$B$5:$B$193, 0)) = "Alignment", INDEX('NZS O&amp;G and CA100'!$E$5:$N$193, MATCH($A84, 'NZS O&amp;G and CA100'!$B$5:$B$193, 0),MATCH(Q$4, 'NZS O&amp;G and CA100'!$E$3:$N$3, 0)),"")</f>
        <v/>
      </c>
      <c r="R84" s="56" t="str">
        <f>IF(INDEX('NZS O&amp;G and CA100'!$D$5:$D$193, MATCH($A84, 'NZS O&amp;G and CA100'!$B$5:$B$193, 0)) = "Alignment", INDEX('NZS O&amp;G and CA100'!$E$5:$N$193, MATCH($A84, 'NZS O&amp;G and CA100'!$B$5:$B$193, 0),MATCH(R$4, 'NZS O&amp;G and CA100'!$E$3:$N$3, 0)),"")</f>
        <v/>
      </c>
      <c r="S84" s="56" t="str">
        <f>IF(INDEX('NZS O&amp;G and CA100'!$D$5:$D$193, MATCH($A84, 'NZS O&amp;G and CA100'!$B$5:$B$193, 0)) = "Alignment", INDEX('NZS O&amp;G and CA100'!$E$5:$N$193, MATCH($A84, 'NZS O&amp;G and CA100'!$B$5:$B$193, 0),MATCH(S$4, 'NZS O&amp;G and CA100'!$E$3:$N$3, 0)),"")</f>
        <v/>
      </c>
      <c r="T84" s="56" t="str">
        <f>IF(INDEX('NZS O&amp;G and CA100'!$D$5:$D$193, MATCH($A84, 'NZS O&amp;G and CA100'!$B$5:$B$193, 0)) = "Alignment", INDEX('NZS O&amp;G and CA100'!$E$5:$N$193, MATCH($A84, 'NZS O&amp;G and CA100'!$B$5:$B$193, 0),MATCH(T$4, 'NZS O&amp;G and CA100'!$E$3:$N$3, 0)),"")</f>
        <v/>
      </c>
      <c r="U84" s="56" t="str">
        <f>IF(INDEX('NZS O&amp;G and CA100'!$D$5:$D$193, MATCH($A84, 'NZS O&amp;G and CA100'!$B$5:$B$193, 0)) = "Alignment", INDEX('NZS O&amp;G and CA100'!$E$5:$N$193, MATCH($A84, 'NZS O&amp;G and CA100'!$B$5:$B$193, 0),MATCH(U$4, 'NZS O&amp;G and CA100'!$E$3:$N$3, 0)),"")</f>
        <v/>
      </c>
      <c r="V84" s="56" t="str">
        <f>IF(INDEX('NZS O&amp;G and CA100'!$D$5:$D$193, MATCH($A84, 'NZS O&amp;G and CA100'!$B$5:$B$193, 0)) = "Alignment", INDEX('NZS O&amp;G and CA100'!$E$5:$N$193, MATCH($A84, 'NZS O&amp;G and CA100'!$B$5:$B$193, 0),MATCH(V$4, 'NZS O&amp;G and CA100'!$E$3:$N$3, 0)),"")</f>
        <v/>
      </c>
      <c r="W84" s="56" t="str">
        <f>IF(INDEX('NZS O&amp;G and CA100'!$D$5:$D$193, MATCH($A84, 'NZS O&amp;G and CA100'!$B$5:$B$193, 0)) = "Alignment", INDEX('NZS O&amp;G and CA100'!$E$5:$N$193, MATCH($A84, 'NZS O&amp;G and CA100'!$B$5:$B$193, 0),MATCH(L$3, 'NZS O&amp;G and CA100'!$E$3:$N$3, 0)),"")</f>
        <v/>
      </c>
      <c r="X84" s="57" t="str">
        <f>IF(INDEX('NZS O&amp;G and CA100'!$D$5:$D$193, MATCH($A84, 'NZS O&amp;G and CA100'!$B$5:$B$193, 0)) = "Alignment", INDEX('NZS O&amp;G and CA100'!$E$5:$N$193, MATCH($A84, 'NZS O&amp;G and CA100'!$B$5:$B$193, 0),MATCH(M$3, 'NZS O&amp;G and CA100'!$E$3:$N$3, 0)),"")</f>
        <v/>
      </c>
      <c r="Y84" s="1"/>
      <c r="Z84" s="55"/>
      <c r="AA84" s="56"/>
      <c r="AB84" s="56"/>
      <c r="AC84" s="56"/>
      <c r="AD84" s="56"/>
      <c r="AE84" s="56"/>
      <c r="AF84" s="56"/>
      <c r="AG84" s="56"/>
      <c r="AH84" s="56"/>
      <c r="AI84" s="57"/>
      <c r="AJ84" s="1"/>
      <c r="AK84" s="49"/>
      <c r="AL84" s="49"/>
      <c r="AM84" s="49"/>
      <c r="AN84" s="49"/>
      <c r="AO84" s="49"/>
    </row>
    <row r="85" spans="1:108" s="50" customFormat="1" ht="20.149999999999999" customHeight="1" outlineLevel="2">
      <c r="A85" s="302" t="s">
        <v>326</v>
      </c>
      <c r="B85" s="240" t="s">
        <v>138</v>
      </c>
      <c r="C85" s="236" t="str">
        <f>VLOOKUP(A85, 'NZS O&amp;G and CA100'!$B$7:$D$194, 3, FALSE)</f>
        <v>Disclosure</v>
      </c>
      <c r="D85" s="310">
        <f>IF(INDEX('NZS O&amp;G and CA100'!$D$5:$D$193, MATCH($A85, 'NZS O&amp;G and CA100'!$B$5:$B$193, 0)) =$B$4, INDEX('NZS O&amp;G and CA100'!$E$5:$N$193, MATCH($A85, 'NZS O&amp;G and CA100'!$B$5:$B$193, 0),MATCH(D$3, 'NZS O&amp;G and CA100'!$E$3:$N$3, 0)),"")</f>
        <v>0</v>
      </c>
      <c r="E85" s="311">
        <f>IF(INDEX('NZS O&amp;G and CA100'!$D$5:$D$193, MATCH($A85, 'NZS O&amp;G and CA100'!$B$5:$B$193, 0)) =$B$4, INDEX('NZS O&amp;G and CA100'!$E$5:$N$193, MATCH($A85, 'NZS O&amp;G and CA100'!$B$5:$B$193, 0),MATCH(E$3, 'NZS O&amp;G and CA100'!$E$3:$N$3, 0)),"")</f>
        <v>0</v>
      </c>
      <c r="F85" s="311">
        <f>IF(INDEX('NZS O&amp;G and CA100'!$D$5:$D$193, MATCH($A85, 'NZS O&amp;G and CA100'!$B$5:$B$193, 0)) =$B$4, INDEX('NZS O&amp;G and CA100'!$E$5:$N$193, MATCH($A85, 'NZS O&amp;G and CA100'!$B$5:$B$193, 0),MATCH(F$3, 'NZS O&amp;G and CA100'!$E$3:$N$3, 0)),"")</f>
        <v>0</v>
      </c>
      <c r="G85" s="311">
        <f>IF(INDEX('NZS O&amp;G and CA100'!$D$5:$D$193, MATCH($A85, 'NZS O&amp;G and CA100'!$B$5:$B$193, 0)) =$B$4, INDEX('NZS O&amp;G and CA100'!$E$5:$N$193, MATCH($A85, 'NZS O&amp;G and CA100'!$B$5:$B$193, 0),MATCH(G$3, 'NZS O&amp;G and CA100'!$E$3:$N$3, 0)),"")</f>
        <v>0</v>
      </c>
      <c r="H85" s="311">
        <f>IF(INDEX('NZS O&amp;G and CA100'!$D$5:$D$193, MATCH($A85, 'NZS O&amp;G and CA100'!$B$5:$B$193, 0)) =$B$4, INDEX('NZS O&amp;G and CA100'!$E$5:$N$193, MATCH($A85, 'NZS O&amp;G and CA100'!$B$5:$B$193, 0),MATCH(H$3, 'NZS O&amp;G and CA100'!$E$3:$N$3, 0)),"")</f>
        <v>0</v>
      </c>
      <c r="I85" s="311">
        <f>IF(INDEX('NZS O&amp;G and CA100'!$D$5:$D$193, MATCH($A85, 'NZS O&amp;G and CA100'!$B$5:$B$193, 0)) =$B$4, INDEX('NZS O&amp;G and CA100'!$E$5:$N$193, MATCH($A85, 'NZS O&amp;G and CA100'!$B$5:$B$193, 0),MATCH(I$3, 'NZS O&amp;G and CA100'!$E$3:$N$3, 0)),"")</f>
        <v>0</v>
      </c>
      <c r="J85" s="311">
        <f>IF(INDEX('NZS O&amp;G and CA100'!$D$5:$D$193, MATCH($A85, 'NZS O&amp;G and CA100'!$B$5:$B$193, 0)) =$B$4, INDEX('NZS O&amp;G and CA100'!$E$5:$N$193, MATCH($A85, 'NZS O&amp;G and CA100'!$B$5:$B$193, 0),MATCH(J$3, 'NZS O&amp;G and CA100'!$E$3:$N$3, 0)),"")</f>
        <v>0</v>
      </c>
      <c r="K85" s="311">
        <f>IF(INDEX('NZS O&amp;G and CA100'!$D$5:$D$193, MATCH($A85, 'NZS O&amp;G and CA100'!$B$5:$B$193, 0)) =$B$4, INDEX('NZS O&amp;G and CA100'!$E$5:$N$193, MATCH($A85, 'NZS O&amp;G and CA100'!$B$5:$B$193, 0),MATCH(K$3, 'NZS O&amp;G and CA100'!$E$3:$N$3, 0)),"")</f>
        <v>0</v>
      </c>
      <c r="L85" s="311">
        <f>IF(INDEX('NZS O&amp;G and CA100'!$D$5:$D$193, MATCH($A85, 'NZS O&amp;G and CA100'!$B$5:$B$193, 0)) =$B$4, INDEX('NZS O&amp;G and CA100'!$E$5:$N$193, MATCH($A85, 'NZS O&amp;G and CA100'!$B$5:$B$193, 0),MATCH(L$3, 'NZS O&amp;G and CA100'!$E$3:$N$3, 0)),"")</f>
        <v>0</v>
      </c>
      <c r="M85" s="312">
        <f>IF(INDEX('NZS O&amp;G and CA100'!$D$5:$D$193, MATCH($A85, 'NZS O&amp;G and CA100'!$B$5:$B$193, 0)) =$B$4, INDEX('NZS O&amp;G and CA100'!$E$5:$N$193, MATCH($A85, 'NZS O&amp;G and CA100'!$B$5:$B$193, 0),MATCH(M$3, 'NZS O&amp;G and CA100'!$E$3:$N$3, 0)),"")</f>
        <v>0</v>
      </c>
      <c r="N85" s="1"/>
      <c r="O85" s="55" t="str">
        <f>IF(INDEX('NZS O&amp;G and CA100'!$D$5:$D$193, MATCH($A85, 'NZS O&amp;G and CA100'!$B$5:$B$193, 0)) = "Alignment", INDEX('NZS O&amp;G and CA100'!$E$5:$N$193, MATCH($A85, 'NZS O&amp;G and CA100'!$B$5:$B$193, 0),MATCH(O$4, 'NZS O&amp;G and CA100'!$E$3:$N$3, 0)),"")</f>
        <v/>
      </c>
      <c r="P85" s="56" t="str">
        <f>IF(INDEX('NZS O&amp;G and CA100'!$D$5:$D$193, MATCH($A85, 'NZS O&amp;G and CA100'!$B$5:$B$193, 0)) = "Alignment", INDEX('NZS O&amp;G and CA100'!$E$5:$N$193, MATCH($A85, 'NZS O&amp;G and CA100'!$B$5:$B$193, 0),MATCH(P$4, 'NZS O&amp;G and CA100'!$E$3:$N$3, 0)),"")</f>
        <v/>
      </c>
      <c r="Q85" s="56" t="str">
        <f>IF(INDEX('NZS O&amp;G and CA100'!$D$5:$D$193, MATCH($A85, 'NZS O&amp;G and CA100'!$B$5:$B$193, 0)) = "Alignment", INDEX('NZS O&amp;G and CA100'!$E$5:$N$193, MATCH($A85, 'NZS O&amp;G and CA100'!$B$5:$B$193, 0),MATCH(Q$4, 'NZS O&amp;G and CA100'!$E$3:$N$3, 0)),"")</f>
        <v/>
      </c>
      <c r="R85" s="56" t="str">
        <f>IF(INDEX('NZS O&amp;G and CA100'!$D$5:$D$193, MATCH($A85, 'NZS O&amp;G and CA100'!$B$5:$B$193, 0)) = "Alignment", INDEX('NZS O&amp;G and CA100'!$E$5:$N$193, MATCH($A85, 'NZS O&amp;G and CA100'!$B$5:$B$193, 0),MATCH(R$4, 'NZS O&amp;G and CA100'!$E$3:$N$3, 0)),"")</f>
        <v/>
      </c>
      <c r="S85" s="56" t="str">
        <f>IF(INDEX('NZS O&amp;G and CA100'!$D$5:$D$193, MATCH($A85, 'NZS O&amp;G and CA100'!$B$5:$B$193, 0)) = "Alignment", INDEX('NZS O&amp;G and CA100'!$E$5:$N$193, MATCH($A85, 'NZS O&amp;G and CA100'!$B$5:$B$193, 0),MATCH(S$4, 'NZS O&amp;G and CA100'!$E$3:$N$3, 0)),"")</f>
        <v/>
      </c>
      <c r="T85" s="56" t="str">
        <f>IF(INDEX('NZS O&amp;G and CA100'!$D$5:$D$193, MATCH($A85, 'NZS O&amp;G and CA100'!$B$5:$B$193, 0)) = "Alignment", INDEX('NZS O&amp;G and CA100'!$E$5:$N$193, MATCH($A85, 'NZS O&amp;G and CA100'!$B$5:$B$193, 0),MATCH(T$4, 'NZS O&amp;G and CA100'!$E$3:$N$3, 0)),"")</f>
        <v/>
      </c>
      <c r="U85" s="56" t="str">
        <f>IF(INDEX('NZS O&amp;G and CA100'!$D$5:$D$193, MATCH($A85, 'NZS O&amp;G and CA100'!$B$5:$B$193, 0)) = "Alignment", INDEX('NZS O&amp;G and CA100'!$E$5:$N$193, MATCH($A85, 'NZS O&amp;G and CA100'!$B$5:$B$193, 0),MATCH(U$4, 'NZS O&amp;G and CA100'!$E$3:$N$3, 0)),"")</f>
        <v/>
      </c>
      <c r="V85" s="56" t="str">
        <f>IF(INDEX('NZS O&amp;G and CA100'!$D$5:$D$193, MATCH($A85, 'NZS O&amp;G and CA100'!$B$5:$B$193, 0)) = "Alignment", INDEX('NZS O&amp;G and CA100'!$E$5:$N$193, MATCH($A85, 'NZS O&amp;G and CA100'!$B$5:$B$193, 0),MATCH(V$4, 'NZS O&amp;G and CA100'!$E$3:$N$3, 0)),"")</f>
        <v/>
      </c>
      <c r="W85" s="56" t="str">
        <f>IF(INDEX('NZS O&amp;G and CA100'!$D$5:$D$193, MATCH($A85, 'NZS O&amp;G and CA100'!$B$5:$B$193, 0)) = "Alignment", INDEX('NZS O&amp;G and CA100'!$E$5:$N$193, MATCH($A85, 'NZS O&amp;G and CA100'!$B$5:$B$193, 0),MATCH(L$3, 'NZS O&amp;G and CA100'!$E$3:$N$3, 0)),"")</f>
        <v/>
      </c>
      <c r="X85" s="57" t="str">
        <f>IF(INDEX('NZS O&amp;G and CA100'!$D$5:$D$193, MATCH($A85, 'NZS O&amp;G and CA100'!$B$5:$B$193, 0)) = "Alignment", INDEX('NZS O&amp;G and CA100'!$E$5:$N$193, MATCH($A85, 'NZS O&amp;G and CA100'!$B$5:$B$193, 0),MATCH(M$3, 'NZS O&amp;G and CA100'!$E$3:$N$3, 0)),"")</f>
        <v/>
      </c>
      <c r="Y85" s="1"/>
      <c r="Z85" s="55"/>
      <c r="AA85" s="56"/>
      <c r="AB85" s="56"/>
      <c r="AC85" s="56"/>
      <c r="AD85" s="56"/>
      <c r="AE85" s="56"/>
      <c r="AF85" s="56"/>
      <c r="AG85" s="56"/>
      <c r="AH85" s="56"/>
      <c r="AI85" s="57"/>
      <c r="AJ85" s="1"/>
      <c r="AK85" s="49"/>
      <c r="AL85" s="49"/>
      <c r="AM85" s="49"/>
      <c r="AN85" s="49"/>
      <c r="AO85" s="49"/>
    </row>
    <row r="86" spans="1:108" s="50" customFormat="1" ht="20.149999999999999" customHeight="1" outlineLevel="2">
      <c r="A86" s="302" t="s">
        <v>327</v>
      </c>
      <c r="B86" s="240" t="s">
        <v>139</v>
      </c>
      <c r="C86" s="236" t="str">
        <f>VLOOKUP(A86, 'NZS O&amp;G and CA100'!$B$7:$D$194, 3, FALSE)</f>
        <v>Disclosure</v>
      </c>
      <c r="D86" s="310">
        <f>IF(INDEX('NZS O&amp;G and CA100'!$D$5:$D$193, MATCH($A86, 'NZS O&amp;G and CA100'!$B$5:$B$193, 0)) =$B$4, INDEX('NZS O&amp;G and CA100'!$E$5:$N$193, MATCH($A86, 'NZS O&amp;G and CA100'!$B$5:$B$193, 0),MATCH(D$3, 'NZS O&amp;G and CA100'!$E$3:$N$3, 0)),"")</f>
        <v>1</v>
      </c>
      <c r="E86" s="311">
        <f>IF(INDEX('NZS O&amp;G and CA100'!$D$5:$D$193, MATCH($A86, 'NZS O&amp;G and CA100'!$B$5:$B$193, 0)) =$B$4, INDEX('NZS O&amp;G and CA100'!$E$5:$N$193, MATCH($A86, 'NZS O&amp;G and CA100'!$B$5:$B$193, 0),MATCH(E$3, 'NZS O&amp;G and CA100'!$E$3:$N$3, 0)),"")</f>
        <v>0</v>
      </c>
      <c r="F86" s="311">
        <f>IF(INDEX('NZS O&amp;G and CA100'!$D$5:$D$193, MATCH($A86, 'NZS O&amp;G and CA100'!$B$5:$B$193, 0)) =$B$4, INDEX('NZS O&amp;G and CA100'!$E$5:$N$193, MATCH($A86, 'NZS O&amp;G and CA100'!$B$5:$B$193, 0),MATCH(F$3, 'NZS O&amp;G and CA100'!$E$3:$N$3, 0)),"")</f>
        <v>0</v>
      </c>
      <c r="G86" s="311">
        <f>IF(INDEX('NZS O&amp;G and CA100'!$D$5:$D$193, MATCH($A86, 'NZS O&amp;G and CA100'!$B$5:$B$193, 0)) =$B$4, INDEX('NZS O&amp;G and CA100'!$E$5:$N$193, MATCH($A86, 'NZS O&amp;G and CA100'!$B$5:$B$193, 0),MATCH(G$3, 'NZS O&amp;G and CA100'!$E$3:$N$3, 0)),"")</f>
        <v>0</v>
      </c>
      <c r="H86" s="311">
        <f>IF(INDEX('NZS O&amp;G and CA100'!$D$5:$D$193, MATCH($A86, 'NZS O&amp;G and CA100'!$B$5:$B$193, 0)) =$B$4, INDEX('NZS O&amp;G and CA100'!$E$5:$N$193, MATCH($A86, 'NZS O&amp;G and CA100'!$B$5:$B$193, 0),MATCH(H$3, 'NZS O&amp;G and CA100'!$E$3:$N$3, 0)),"")</f>
        <v>0</v>
      </c>
      <c r="I86" s="311">
        <f>IF(INDEX('NZS O&amp;G and CA100'!$D$5:$D$193, MATCH($A86, 'NZS O&amp;G and CA100'!$B$5:$B$193, 0)) =$B$4, INDEX('NZS O&amp;G and CA100'!$E$5:$N$193, MATCH($A86, 'NZS O&amp;G and CA100'!$B$5:$B$193, 0),MATCH(I$3, 'NZS O&amp;G and CA100'!$E$3:$N$3, 0)),"")</f>
        <v>0</v>
      </c>
      <c r="J86" s="311">
        <f>IF(INDEX('NZS O&amp;G and CA100'!$D$5:$D$193, MATCH($A86, 'NZS O&amp;G and CA100'!$B$5:$B$193, 0)) =$B$4, INDEX('NZS O&amp;G and CA100'!$E$5:$N$193, MATCH($A86, 'NZS O&amp;G and CA100'!$B$5:$B$193, 0),MATCH(J$3, 'NZS O&amp;G and CA100'!$E$3:$N$3, 0)),"")</f>
        <v>0</v>
      </c>
      <c r="K86" s="311">
        <f>IF(INDEX('NZS O&amp;G and CA100'!$D$5:$D$193, MATCH($A86, 'NZS O&amp;G and CA100'!$B$5:$B$193, 0)) =$B$4, INDEX('NZS O&amp;G and CA100'!$E$5:$N$193, MATCH($A86, 'NZS O&amp;G and CA100'!$B$5:$B$193, 0),MATCH(K$3, 'NZS O&amp;G and CA100'!$E$3:$N$3, 0)),"")</f>
        <v>0</v>
      </c>
      <c r="L86" s="311">
        <f>IF(INDEX('NZS O&amp;G and CA100'!$D$5:$D$193, MATCH($A86, 'NZS O&amp;G and CA100'!$B$5:$B$193, 0)) =$B$4, INDEX('NZS O&amp;G and CA100'!$E$5:$N$193, MATCH($A86, 'NZS O&amp;G and CA100'!$B$5:$B$193, 0),MATCH(L$3, 'NZS O&amp;G and CA100'!$E$3:$N$3, 0)),"")</f>
        <v>0</v>
      </c>
      <c r="M86" s="312">
        <f>IF(INDEX('NZS O&amp;G and CA100'!$D$5:$D$193, MATCH($A86, 'NZS O&amp;G and CA100'!$B$5:$B$193, 0)) =$B$4, INDEX('NZS O&amp;G and CA100'!$E$5:$N$193, MATCH($A86, 'NZS O&amp;G and CA100'!$B$5:$B$193, 0),MATCH(M$3, 'NZS O&amp;G and CA100'!$E$3:$N$3, 0)),"")</f>
        <v>1</v>
      </c>
      <c r="N86" s="1"/>
      <c r="O86" s="55" t="str">
        <f>IF(INDEX('NZS O&amp;G and CA100'!$D$5:$D$193, MATCH($A86, 'NZS O&amp;G and CA100'!$B$5:$B$193, 0)) = "Alignment", INDEX('NZS O&amp;G and CA100'!$E$5:$N$193, MATCH($A86, 'NZS O&amp;G and CA100'!$B$5:$B$193, 0),MATCH(O$4, 'NZS O&amp;G and CA100'!$E$3:$N$3, 0)),"")</f>
        <v/>
      </c>
      <c r="P86" s="56" t="str">
        <f>IF(INDEX('NZS O&amp;G and CA100'!$D$5:$D$193, MATCH($A86, 'NZS O&amp;G and CA100'!$B$5:$B$193, 0)) = "Alignment", INDEX('NZS O&amp;G and CA100'!$E$5:$N$193, MATCH($A86, 'NZS O&amp;G and CA100'!$B$5:$B$193, 0),MATCH(P$4, 'NZS O&amp;G and CA100'!$E$3:$N$3, 0)),"")</f>
        <v/>
      </c>
      <c r="Q86" s="56" t="str">
        <f>IF(INDEX('NZS O&amp;G and CA100'!$D$5:$D$193, MATCH($A86, 'NZS O&amp;G and CA100'!$B$5:$B$193, 0)) = "Alignment", INDEX('NZS O&amp;G and CA100'!$E$5:$N$193, MATCH($A86, 'NZS O&amp;G and CA100'!$B$5:$B$193, 0),MATCH(Q$4, 'NZS O&amp;G and CA100'!$E$3:$N$3, 0)),"")</f>
        <v/>
      </c>
      <c r="R86" s="56" t="str">
        <f>IF(INDEX('NZS O&amp;G and CA100'!$D$5:$D$193, MATCH($A86, 'NZS O&amp;G and CA100'!$B$5:$B$193, 0)) = "Alignment", INDEX('NZS O&amp;G and CA100'!$E$5:$N$193, MATCH($A86, 'NZS O&amp;G and CA100'!$B$5:$B$193, 0),MATCH(R$4, 'NZS O&amp;G and CA100'!$E$3:$N$3, 0)),"")</f>
        <v/>
      </c>
      <c r="S86" s="56" t="str">
        <f>IF(INDEX('NZS O&amp;G and CA100'!$D$5:$D$193, MATCH($A86, 'NZS O&amp;G and CA100'!$B$5:$B$193, 0)) = "Alignment", INDEX('NZS O&amp;G and CA100'!$E$5:$N$193, MATCH($A86, 'NZS O&amp;G and CA100'!$B$5:$B$193, 0),MATCH(S$4, 'NZS O&amp;G and CA100'!$E$3:$N$3, 0)),"")</f>
        <v/>
      </c>
      <c r="T86" s="56" t="str">
        <f>IF(INDEX('NZS O&amp;G and CA100'!$D$5:$D$193, MATCH($A86, 'NZS O&amp;G and CA100'!$B$5:$B$193, 0)) = "Alignment", INDEX('NZS O&amp;G and CA100'!$E$5:$N$193, MATCH($A86, 'NZS O&amp;G and CA100'!$B$5:$B$193, 0),MATCH(T$4, 'NZS O&amp;G and CA100'!$E$3:$N$3, 0)),"")</f>
        <v/>
      </c>
      <c r="U86" s="56" t="str">
        <f>IF(INDEX('NZS O&amp;G and CA100'!$D$5:$D$193, MATCH($A86, 'NZS O&amp;G and CA100'!$B$5:$B$193, 0)) = "Alignment", INDEX('NZS O&amp;G and CA100'!$E$5:$N$193, MATCH($A86, 'NZS O&amp;G and CA100'!$B$5:$B$193, 0),MATCH(U$4, 'NZS O&amp;G and CA100'!$E$3:$N$3, 0)),"")</f>
        <v/>
      </c>
      <c r="V86" s="56" t="str">
        <f>IF(INDEX('NZS O&amp;G and CA100'!$D$5:$D$193, MATCH($A86, 'NZS O&amp;G and CA100'!$B$5:$B$193, 0)) = "Alignment", INDEX('NZS O&amp;G and CA100'!$E$5:$N$193, MATCH($A86, 'NZS O&amp;G and CA100'!$B$5:$B$193, 0),MATCH(V$4, 'NZS O&amp;G and CA100'!$E$3:$N$3, 0)),"")</f>
        <v/>
      </c>
      <c r="W86" s="56" t="str">
        <f>IF(INDEX('NZS O&amp;G and CA100'!$D$5:$D$193, MATCH($A86, 'NZS O&amp;G and CA100'!$B$5:$B$193, 0)) = "Alignment", INDEX('NZS O&amp;G and CA100'!$E$5:$N$193, MATCH($A86, 'NZS O&amp;G and CA100'!$B$5:$B$193, 0),MATCH(L$3, 'NZS O&amp;G and CA100'!$E$3:$N$3, 0)),"")</f>
        <v/>
      </c>
      <c r="X86" s="57" t="str">
        <f>IF(INDEX('NZS O&amp;G and CA100'!$D$5:$D$193, MATCH($A86, 'NZS O&amp;G and CA100'!$B$5:$B$193, 0)) = "Alignment", INDEX('NZS O&amp;G and CA100'!$E$5:$N$193, MATCH($A86, 'NZS O&amp;G and CA100'!$B$5:$B$193, 0),MATCH(M$3, 'NZS O&amp;G and CA100'!$E$3:$N$3, 0)),"")</f>
        <v/>
      </c>
      <c r="Y86" s="1"/>
      <c r="Z86" s="55"/>
      <c r="AA86" s="56"/>
      <c r="AB86" s="56"/>
      <c r="AC86" s="56"/>
      <c r="AD86" s="56"/>
      <c r="AE86" s="56"/>
      <c r="AF86" s="56"/>
      <c r="AG86" s="56"/>
      <c r="AH86" s="56"/>
      <c r="AI86" s="57"/>
      <c r="AJ86" s="1"/>
      <c r="AK86" s="49"/>
      <c r="AL86" s="49"/>
      <c r="AM86" s="49"/>
      <c r="AN86" s="49"/>
      <c r="AO86" s="49"/>
    </row>
    <row r="87" spans="1:108" s="50" customFormat="1" ht="20.149999999999999" customHeight="1" outlineLevel="2">
      <c r="A87" s="302" t="s">
        <v>328</v>
      </c>
      <c r="B87" s="240" t="s">
        <v>140</v>
      </c>
      <c r="C87" s="236" t="str">
        <f>VLOOKUP(A87, 'NZS O&amp;G and CA100'!$B$7:$D$194, 3, FALSE)</f>
        <v>Disclosure</v>
      </c>
      <c r="D87" s="310">
        <f>IF(INDEX('NZS O&amp;G and CA100'!$D$5:$D$193, MATCH($A87, 'NZS O&amp;G and CA100'!$B$5:$B$193, 0)) =$B$4, INDEX('NZS O&amp;G and CA100'!$E$5:$N$193, MATCH($A87, 'NZS O&amp;G and CA100'!$B$5:$B$193, 0),MATCH(D$3, 'NZS O&amp;G and CA100'!$E$3:$N$3, 0)),"")</f>
        <v>1</v>
      </c>
      <c r="E87" s="311">
        <f>IF(INDEX('NZS O&amp;G and CA100'!$D$5:$D$193, MATCH($A87, 'NZS O&amp;G and CA100'!$B$5:$B$193, 0)) =$B$4, INDEX('NZS O&amp;G and CA100'!$E$5:$N$193, MATCH($A87, 'NZS O&amp;G and CA100'!$B$5:$B$193, 0),MATCH(E$3, 'NZS O&amp;G and CA100'!$E$3:$N$3, 0)),"")</f>
        <v>1</v>
      </c>
      <c r="F87" s="311">
        <f>IF(INDEX('NZS O&amp;G and CA100'!$D$5:$D$193, MATCH($A87, 'NZS O&amp;G and CA100'!$B$5:$B$193, 0)) =$B$4, INDEX('NZS O&amp;G and CA100'!$E$5:$N$193, MATCH($A87, 'NZS O&amp;G and CA100'!$B$5:$B$193, 0),MATCH(F$3, 'NZS O&amp;G and CA100'!$E$3:$N$3, 0)),"")</f>
        <v>1</v>
      </c>
      <c r="G87" s="311">
        <f>IF(INDEX('NZS O&amp;G and CA100'!$D$5:$D$193, MATCH($A87, 'NZS O&amp;G and CA100'!$B$5:$B$193, 0)) =$B$4, INDEX('NZS O&amp;G and CA100'!$E$5:$N$193, MATCH($A87, 'NZS O&amp;G and CA100'!$B$5:$B$193, 0),MATCH(G$3, 'NZS O&amp;G and CA100'!$E$3:$N$3, 0)),"")</f>
        <v>1</v>
      </c>
      <c r="H87" s="311">
        <f>IF(INDEX('NZS O&amp;G and CA100'!$D$5:$D$193, MATCH($A87, 'NZS O&amp;G and CA100'!$B$5:$B$193, 0)) =$B$4, INDEX('NZS O&amp;G and CA100'!$E$5:$N$193, MATCH($A87, 'NZS O&amp;G and CA100'!$B$5:$B$193, 0),MATCH(H$3, 'NZS O&amp;G and CA100'!$E$3:$N$3, 0)),"")</f>
        <v>1</v>
      </c>
      <c r="I87" s="311">
        <f>IF(INDEX('NZS O&amp;G and CA100'!$D$5:$D$193, MATCH($A87, 'NZS O&amp;G and CA100'!$B$5:$B$193, 0)) =$B$4, INDEX('NZS O&amp;G and CA100'!$E$5:$N$193, MATCH($A87, 'NZS O&amp;G and CA100'!$B$5:$B$193, 0),MATCH(I$3, 'NZS O&amp;G and CA100'!$E$3:$N$3, 0)),"")</f>
        <v>1</v>
      </c>
      <c r="J87" s="311">
        <f>IF(INDEX('NZS O&amp;G and CA100'!$D$5:$D$193, MATCH($A87, 'NZS O&amp;G and CA100'!$B$5:$B$193, 0)) =$B$4, INDEX('NZS O&amp;G and CA100'!$E$5:$N$193, MATCH($A87, 'NZS O&amp;G and CA100'!$B$5:$B$193, 0),MATCH(J$3, 'NZS O&amp;G and CA100'!$E$3:$N$3, 0)),"")</f>
        <v>1</v>
      </c>
      <c r="K87" s="311">
        <f>IF(INDEX('NZS O&amp;G and CA100'!$D$5:$D$193, MATCH($A87, 'NZS O&amp;G and CA100'!$B$5:$B$193, 0)) =$B$4, INDEX('NZS O&amp;G and CA100'!$E$5:$N$193, MATCH($A87, 'NZS O&amp;G and CA100'!$B$5:$B$193, 0),MATCH(K$3, 'NZS O&amp;G and CA100'!$E$3:$N$3, 0)),"")</f>
        <v>1</v>
      </c>
      <c r="L87" s="311">
        <f>IF(INDEX('NZS O&amp;G and CA100'!$D$5:$D$193, MATCH($A87, 'NZS O&amp;G and CA100'!$B$5:$B$193, 0)) =$B$4, INDEX('NZS O&amp;G and CA100'!$E$5:$N$193, MATCH($A87, 'NZS O&amp;G and CA100'!$B$5:$B$193, 0),MATCH(L$3, 'NZS O&amp;G and CA100'!$E$3:$N$3, 0)),"")</f>
        <v>0</v>
      </c>
      <c r="M87" s="312">
        <f>IF(INDEX('NZS O&amp;G and CA100'!$D$5:$D$193, MATCH($A87, 'NZS O&amp;G and CA100'!$B$5:$B$193, 0)) =$B$4, INDEX('NZS O&amp;G and CA100'!$E$5:$N$193, MATCH($A87, 'NZS O&amp;G and CA100'!$B$5:$B$193, 0),MATCH(M$3, 'NZS O&amp;G and CA100'!$E$3:$N$3, 0)),"")</f>
        <v>1</v>
      </c>
      <c r="N87" s="1"/>
      <c r="O87" s="55" t="str">
        <f>IF(INDEX('NZS O&amp;G and CA100'!$D$5:$D$193, MATCH($A87, 'NZS O&amp;G and CA100'!$B$5:$B$193, 0)) = "Alignment", INDEX('NZS O&amp;G and CA100'!$E$5:$N$193, MATCH($A87, 'NZS O&amp;G and CA100'!$B$5:$B$193, 0),MATCH(O$4, 'NZS O&amp;G and CA100'!$E$3:$N$3, 0)),"")</f>
        <v/>
      </c>
      <c r="P87" s="56" t="str">
        <f>IF(INDEX('NZS O&amp;G and CA100'!$D$5:$D$193, MATCH($A87, 'NZS O&amp;G and CA100'!$B$5:$B$193, 0)) = "Alignment", INDEX('NZS O&amp;G and CA100'!$E$5:$N$193, MATCH($A87, 'NZS O&amp;G and CA100'!$B$5:$B$193, 0),MATCH(P$4, 'NZS O&amp;G and CA100'!$E$3:$N$3, 0)),"")</f>
        <v/>
      </c>
      <c r="Q87" s="56" t="str">
        <f>IF(INDEX('NZS O&amp;G and CA100'!$D$5:$D$193, MATCH($A87, 'NZS O&amp;G and CA100'!$B$5:$B$193, 0)) = "Alignment", INDEX('NZS O&amp;G and CA100'!$E$5:$N$193, MATCH($A87, 'NZS O&amp;G and CA100'!$B$5:$B$193, 0),MATCH(Q$4, 'NZS O&amp;G and CA100'!$E$3:$N$3, 0)),"")</f>
        <v/>
      </c>
      <c r="R87" s="56" t="str">
        <f>IF(INDEX('NZS O&amp;G and CA100'!$D$5:$D$193, MATCH($A87, 'NZS O&amp;G and CA100'!$B$5:$B$193, 0)) = "Alignment", INDEX('NZS O&amp;G and CA100'!$E$5:$N$193, MATCH($A87, 'NZS O&amp;G and CA100'!$B$5:$B$193, 0),MATCH(R$4, 'NZS O&amp;G and CA100'!$E$3:$N$3, 0)),"")</f>
        <v/>
      </c>
      <c r="S87" s="56" t="str">
        <f>IF(INDEX('NZS O&amp;G and CA100'!$D$5:$D$193, MATCH($A87, 'NZS O&amp;G and CA100'!$B$5:$B$193, 0)) = "Alignment", INDEX('NZS O&amp;G and CA100'!$E$5:$N$193, MATCH($A87, 'NZS O&amp;G and CA100'!$B$5:$B$193, 0),MATCH(S$4, 'NZS O&amp;G and CA100'!$E$3:$N$3, 0)),"")</f>
        <v/>
      </c>
      <c r="T87" s="56" t="str">
        <f>IF(INDEX('NZS O&amp;G and CA100'!$D$5:$D$193, MATCH($A87, 'NZS O&amp;G and CA100'!$B$5:$B$193, 0)) = "Alignment", INDEX('NZS O&amp;G and CA100'!$E$5:$N$193, MATCH($A87, 'NZS O&amp;G and CA100'!$B$5:$B$193, 0),MATCH(T$4, 'NZS O&amp;G and CA100'!$E$3:$N$3, 0)),"")</f>
        <v/>
      </c>
      <c r="U87" s="56" t="str">
        <f>IF(INDEX('NZS O&amp;G and CA100'!$D$5:$D$193, MATCH($A87, 'NZS O&amp;G and CA100'!$B$5:$B$193, 0)) = "Alignment", INDEX('NZS O&amp;G and CA100'!$E$5:$N$193, MATCH($A87, 'NZS O&amp;G and CA100'!$B$5:$B$193, 0),MATCH(U$4, 'NZS O&amp;G and CA100'!$E$3:$N$3, 0)),"")</f>
        <v/>
      </c>
      <c r="V87" s="56" t="str">
        <f>IF(INDEX('NZS O&amp;G and CA100'!$D$5:$D$193, MATCH($A87, 'NZS O&amp;G and CA100'!$B$5:$B$193, 0)) = "Alignment", INDEX('NZS O&amp;G and CA100'!$E$5:$N$193, MATCH($A87, 'NZS O&amp;G and CA100'!$B$5:$B$193, 0),MATCH(V$4, 'NZS O&amp;G and CA100'!$E$3:$N$3, 0)),"")</f>
        <v/>
      </c>
      <c r="W87" s="56" t="str">
        <f>IF(INDEX('NZS O&amp;G and CA100'!$D$5:$D$193, MATCH($A87, 'NZS O&amp;G and CA100'!$B$5:$B$193, 0)) = "Alignment", INDEX('NZS O&amp;G and CA100'!$E$5:$N$193, MATCH($A87, 'NZS O&amp;G and CA100'!$B$5:$B$193, 0),MATCH(L$3, 'NZS O&amp;G and CA100'!$E$3:$N$3, 0)),"")</f>
        <v/>
      </c>
      <c r="X87" s="57" t="str">
        <f>IF(INDEX('NZS O&amp;G and CA100'!$D$5:$D$193, MATCH($A87, 'NZS O&amp;G and CA100'!$B$5:$B$193, 0)) = "Alignment", INDEX('NZS O&amp;G and CA100'!$E$5:$N$193, MATCH($A87, 'NZS O&amp;G and CA100'!$B$5:$B$193, 0),MATCH(M$3, 'NZS O&amp;G and CA100'!$E$3:$N$3, 0)),"")</f>
        <v/>
      </c>
      <c r="Y87" s="1"/>
      <c r="Z87" s="55"/>
      <c r="AA87" s="56"/>
      <c r="AB87" s="56"/>
      <c r="AC87" s="56"/>
      <c r="AD87" s="56"/>
      <c r="AE87" s="56"/>
      <c r="AF87" s="56"/>
      <c r="AG87" s="56"/>
      <c r="AH87" s="56"/>
      <c r="AI87" s="57"/>
      <c r="AJ87" s="1"/>
      <c r="AK87" s="49"/>
      <c r="AL87" s="49"/>
      <c r="AM87" s="49"/>
      <c r="AN87" s="49"/>
      <c r="AO87" s="49"/>
    </row>
    <row r="88" spans="1:108" s="50" customFormat="1" ht="20.149999999999999" customHeight="1" outlineLevel="2">
      <c r="A88" s="302" t="s">
        <v>329</v>
      </c>
      <c r="B88" s="240" t="s">
        <v>141</v>
      </c>
      <c r="C88" s="236" t="str">
        <f>VLOOKUP(A88, 'NZS O&amp;G and CA100'!$B$7:$D$194, 3, FALSE)</f>
        <v>Disclosure</v>
      </c>
      <c r="D88" s="310">
        <f>IF(INDEX('NZS O&amp;G and CA100'!$D$5:$D$193, MATCH($A88, 'NZS O&amp;G and CA100'!$B$5:$B$193, 0)) =$B$4, INDEX('NZS O&amp;G and CA100'!$E$5:$N$193, MATCH($A88, 'NZS O&amp;G and CA100'!$B$5:$B$193, 0),MATCH(D$3, 'NZS O&amp;G and CA100'!$E$3:$N$3, 0)),"")</f>
        <v>0</v>
      </c>
      <c r="E88" s="311">
        <f>IF(INDEX('NZS O&amp;G and CA100'!$D$5:$D$193, MATCH($A88, 'NZS O&amp;G and CA100'!$B$5:$B$193, 0)) =$B$4, INDEX('NZS O&amp;G and CA100'!$E$5:$N$193, MATCH($A88, 'NZS O&amp;G and CA100'!$B$5:$B$193, 0),MATCH(E$3, 'NZS O&amp;G and CA100'!$E$3:$N$3, 0)),"")</f>
        <v>0</v>
      </c>
      <c r="F88" s="311">
        <f>IF(INDEX('NZS O&amp;G and CA100'!$D$5:$D$193, MATCH($A88, 'NZS O&amp;G and CA100'!$B$5:$B$193, 0)) =$B$4, INDEX('NZS O&amp;G and CA100'!$E$5:$N$193, MATCH($A88, 'NZS O&amp;G and CA100'!$B$5:$B$193, 0),MATCH(F$3, 'NZS O&amp;G and CA100'!$E$3:$N$3, 0)),"")</f>
        <v>1</v>
      </c>
      <c r="G88" s="311">
        <f>IF(INDEX('NZS O&amp;G and CA100'!$D$5:$D$193, MATCH($A88, 'NZS O&amp;G and CA100'!$B$5:$B$193, 0)) =$B$4, INDEX('NZS O&amp;G and CA100'!$E$5:$N$193, MATCH($A88, 'NZS O&amp;G and CA100'!$B$5:$B$193, 0),MATCH(G$3, 'NZS O&amp;G and CA100'!$E$3:$N$3, 0)),"")</f>
        <v>0</v>
      </c>
      <c r="H88" s="311">
        <f>IF(INDEX('NZS O&amp;G and CA100'!$D$5:$D$193, MATCH($A88, 'NZS O&amp;G and CA100'!$B$5:$B$193, 0)) =$B$4, INDEX('NZS O&amp;G and CA100'!$E$5:$N$193, MATCH($A88, 'NZS O&amp;G and CA100'!$B$5:$B$193, 0),MATCH(H$3, 'NZS O&amp;G and CA100'!$E$3:$N$3, 0)),"")</f>
        <v>0</v>
      </c>
      <c r="I88" s="311">
        <f>IF(INDEX('NZS O&amp;G and CA100'!$D$5:$D$193, MATCH($A88, 'NZS O&amp;G and CA100'!$B$5:$B$193, 0)) =$B$4, INDEX('NZS O&amp;G and CA100'!$E$5:$N$193, MATCH($A88, 'NZS O&amp;G and CA100'!$B$5:$B$193, 0),MATCH(I$3, 'NZS O&amp;G and CA100'!$E$3:$N$3, 0)),"")</f>
        <v>0</v>
      </c>
      <c r="J88" s="311">
        <f>IF(INDEX('NZS O&amp;G and CA100'!$D$5:$D$193, MATCH($A88, 'NZS O&amp;G and CA100'!$B$5:$B$193, 0)) =$B$4, INDEX('NZS O&amp;G and CA100'!$E$5:$N$193, MATCH($A88, 'NZS O&amp;G and CA100'!$B$5:$B$193, 0),MATCH(J$3, 'NZS O&amp;G and CA100'!$E$3:$N$3, 0)),"")</f>
        <v>0</v>
      </c>
      <c r="K88" s="311">
        <f>IF(INDEX('NZS O&amp;G and CA100'!$D$5:$D$193, MATCH($A88, 'NZS O&amp;G and CA100'!$B$5:$B$193, 0)) =$B$4, INDEX('NZS O&amp;G and CA100'!$E$5:$N$193, MATCH($A88, 'NZS O&amp;G and CA100'!$B$5:$B$193, 0),MATCH(K$3, 'NZS O&amp;G and CA100'!$E$3:$N$3, 0)),"")</f>
        <v>0</v>
      </c>
      <c r="L88" s="311">
        <f>IF(INDEX('NZS O&amp;G and CA100'!$D$5:$D$193, MATCH($A88, 'NZS O&amp;G and CA100'!$B$5:$B$193, 0)) =$B$4, INDEX('NZS O&amp;G and CA100'!$E$5:$N$193, MATCH($A88, 'NZS O&amp;G and CA100'!$B$5:$B$193, 0),MATCH(L$3, 'NZS O&amp;G and CA100'!$E$3:$N$3, 0)),"")</f>
        <v>0</v>
      </c>
      <c r="M88" s="312">
        <f>IF(INDEX('NZS O&amp;G and CA100'!$D$5:$D$193, MATCH($A88, 'NZS O&amp;G and CA100'!$B$5:$B$193, 0)) =$B$4, INDEX('NZS O&amp;G and CA100'!$E$5:$N$193, MATCH($A88, 'NZS O&amp;G and CA100'!$B$5:$B$193, 0),MATCH(M$3, 'NZS O&amp;G and CA100'!$E$3:$N$3, 0)),"")</f>
        <v>1</v>
      </c>
      <c r="N88" s="1"/>
      <c r="O88" s="55" t="str">
        <f>IF(INDEX('NZS O&amp;G and CA100'!$D$5:$D$193, MATCH($A88, 'NZS O&amp;G and CA100'!$B$5:$B$193, 0)) = "Alignment", INDEX('NZS O&amp;G and CA100'!$E$5:$N$193, MATCH($A88, 'NZS O&amp;G and CA100'!$B$5:$B$193, 0),MATCH(O$4, 'NZS O&amp;G and CA100'!$E$3:$N$3, 0)),"")</f>
        <v/>
      </c>
      <c r="P88" s="56" t="str">
        <f>IF(INDEX('NZS O&amp;G and CA100'!$D$5:$D$193, MATCH($A88, 'NZS O&amp;G and CA100'!$B$5:$B$193, 0)) = "Alignment", INDEX('NZS O&amp;G and CA100'!$E$5:$N$193, MATCH($A88, 'NZS O&amp;G and CA100'!$B$5:$B$193, 0),MATCH(P$4, 'NZS O&amp;G and CA100'!$E$3:$N$3, 0)),"")</f>
        <v/>
      </c>
      <c r="Q88" s="56" t="str">
        <f>IF(INDEX('NZS O&amp;G and CA100'!$D$5:$D$193, MATCH($A88, 'NZS O&amp;G and CA100'!$B$5:$B$193, 0)) = "Alignment", INDEX('NZS O&amp;G and CA100'!$E$5:$N$193, MATCH($A88, 'NZS O&amp;G and CA100'!$B$5:$B$193, 0),MATCH(Q$4, 'NZS O&amp;G and CA100'!$E$3:$N$3, 0)),"")</f>
        <v/>
      </c>
      <c r="R88" s="56" t="str">
        <f>IF(INDEX('NZS O&amp;G and CA100'!$D$5:$D$193, MATCH($A88, 'NZS O&amp;G and CA100'!$B$5:$B$193, 0)) = "Alignment", INDEX('NZS O&amp;G and CA100'!$E$5:$N$193, MATCH($A88, 'NZS O&amp;G and CA100'!$B$5:$B$193, 0),MATCH(R$4, 'NZS O&amp;G and CA100'!$E$3:$N$3, 0)),"")</f>
        <v/>
      </c>
      <c r="S88" s="56" t="str">
        <f>IF(INDEX('NZS O&amp;G and CA100'!$D$5:$D$193, MATCH($A88, 'NZS O&amp;G and CA100'!$B$5:$B$193, 0)) = "Alignment", INDEX('NZS O&amp;G and CA100'!$E$5:$N$193, MATCH($A88, 'NZS O&amp;G and CA100'!$B$5:$B$193, 0),MATCH(S$4, 'NZS O&amp;G and CA100'!$E$3:$N$3, 0)),"")</f>
        <v/>
      </c>
      <c r="T88" s="56" t="str">
        <f>IF(INDEX('NZS O&amp;G and CA100'!$D$5:$D$193, MATCH($A88, 'NZS O&amp;G and CA100'!$B$5:$B$193, 0)) = "Alignment", INDEX('NZS O&amp;G and CA100'!$E$5:$N$193, MATCH($A88, 'NZS O&amp;G and CA100'!$B$5:$B$193, 0),MATCH(T$4, 'NZS O&amp;G and CA100'!$E$3:$N$3, 0)),"")</f>
        <v/>
      </c>
      <c r="U88" s="56" t="str">
        <f>IF(INDEX('NZS O&amp;G and CA100'!$D$5:$D$193, MATCH($A88, 'NZS O&amp;G and CA100'!$B$5:$B$193, 0)) = "Alignment", INDEX('NZS O&amp;G and CA100'!$E$5:$N$193, MATCH($A88, 'NZS O&amp;G and CA100'!$B$5:$B$193, 0),MATCH(U$4, 'NZS O&amp;G and CA100'!$E$3:$N$3, 0)),"")</f>
        <v/>
      </c>
      <c r="V88" s="56" t="str">
        <f>IF(INDEX('NZS O&amp;G and CA100'!$D$5:$D$193, MATCH($A88, 'NZS O&amp;G and CA100'!$B$5:$B$193, 0)) = "Alignment", INDEX('NZS O&amp;G and CA100'!$E$5:$N$193, MATCH($A88, 'NZS O&amp;G and CA100'!$B$5:$B$193, 0),MATCH(V$4, 'NZS O&amp;G and CA100'!$E$3:$N$3, 0)),"")</f>
        <v/>
      </c>
      <c r="W88" s="56" t="str">
        <f>IF(INDEX('NZS O&amp;G and CA100'!$D$5:$D$193, MATCH($A88, 'NZS O&amp;G and CA100'!$B$5:$B$193, 0)) = "Alignment", INDEX('NZS O&amp;G and CA100'!$E$5:$N$193, MATCH($A88, 'NZS O&amp;G and CA100'!$B$5:$B$193, 0),MATCH(L$3, 'NZS O&amp;G and CA100'!$E$3:$N$3, 0)),"")</f>
        <v/>
      </c>
      <c r="X88" s="57" t="str">
        <f>IF(INDEX('NZS O&amp;G and CA100'!$D$5:$D$193, MATCH($A88, 'NZS O&amp;G and CA100'!$B$5:$B$193, 0)) = "Alignment", INDEX('NZS O&amp;G and CA100'!$E$5:$N$193, MATCH($A88, 'NZS O&amp;G and CA100'!$B$5:$B$193, 0),MATCH(M$3, 'NZS O&amp;G and CA100'!$E$3:$N$3, 0)),"")</f>
        <v/>
      </c>
      <c r="Y88" s="1"/>
      <c r="Z88" s="55"/>
      <c r="AA88" s="56"/>
      <c r="AB88" s="56"/>
      <c r="AC88" s="56"/>
      <c r="AD88" s="56"/>
      <c r="AE88" s="56"/>
      <c r="AF88" s="56"/>
      <c r="AG88" s="56"/>
      <c r="AH88" s="56"/>
      <c r="AI88" s="57"/>
      <c r="AJ88" s="1"/>
      <c r="AK88" s="49"/>
      <c r="AL88" s="49"/>
      <c r="AM88" s="49"/>
      <c r="AN88" s="49"/>
      <c r="AO88" s="49"/>
    </row>
    <row r="89" spans="1:108" s="50" customFormat="1" ht="20.149999999999999" customHeight="1" outlineLevel="2">
      <c r="A89" s="302" t="s">
        <v>330</v>
      </c>
      <c r="B89" s="240" t="s">
        <v>142</v>
      </c>
      <c r="C89" s="236" t="str">
        <f>VLOOKUP(A89, 'NZS O&amp;G and CA100'!$B$7:$D$194, 3, FALSE)</f>
        <v>Alignment</v>
      </c>
      <c r="D89" s="310" t="str">
        <f>IF(INDEX('NZS O&amp;G and CA100'!$D$5:$D$193, MATCH($A89, 'NZS O&amp;G and CA100'!$B$5:$B$193, 0)) =$B$4, INDEX('NZS O&amp;G and CA100'!$E$5:$N$193, MATCH($A89, 'NZS O&amp;G and CA100'!$B$5:$B$193, 0),MATCH(D$3, 'NZS O&amp;G and CA100'!$E$3:$N$3, 0)),"")</f>
        <v/>
      </c>
      <c r="E89" s="311" t="str">
        <f>IF(INDEX('NZS O&amp;G and CA100'!$D$5:$D$193, MATCH($A89, 'NZS O&amp;G and CA100'!$B$5:$B$193, 0)) =$B$4, INDEX('NZS O&amp;G and CA100'!$E$5:$N$193, MATCH($A89, 'NZS O&amp;G and CA100'!$B$5:$B$193, 0),MATCH(E$3, 'NZS O&amp;G and CA100'!$E$3:$N$3, 0)),"")</f>
        <v/>
      </c>
      <c r="F89" s="311" t="str">
        <f>IF(INDEX('NZS O&amp;G and CA100'!$D$5:$D$193, MATCH($A89, 'NZS O&amp;G and CA100'!$B$5:$B$193, 0)) =$B$4, INDEX('NZS O&amp;G and CA100'!$E$5:$N$193, MATCH($A89, 'NZS O&amp;G and CA100'!$B$5:$B$193, 0),MATCH(F$3, 'NZS O&amp;G and CA100'!$E$3:$N$3, 0)),"")</f>
        <v/>
      </c>
      <c r="G89" s="311" t="str">
        <f>IF(INDEX('NZS O&amp;G and CA100'!$D$5:$D$193, MATCH($A89, 'NZS O&amp;G and CA100'!$B$5:$B$193, 0)) =$B$4, INDEX('NZS O&amp;G and CA100'!$E$5:$N$193, MATCH($A89, 'NZS O&amp;G and CA100'!$B$5:$B$193, 0),MATCH(G$3, 'NZS O&amp;G and CA100'!$E$3:$N$3, 0)),"")</f>
        <v/>
      </c>
      <c r="H89" s="311" t="str">
        <f>IF(INDEX('NZS O&amp;G and CA100'!$D$5:$D$193, MATCH($A89, 'NZS O&amp;G and CA100'!$B$5:$B$193, 0)) =$B$4, INDEX('NZS O&amp;G and CA100'!$E$5:$N$193, MATCH($A89, 'NZS O&amp;G and CA100'!$B$5:$B$193, 0),MATCH(H$3, 'NZS O&amp;G and CA100'!$E$3:$N$3, 0)),"")</f>
        <v/>
      </c>
      <c r="I89" s="311" t="str">
        <f>IF(INDEX('NZS O&amp;G and CA100'!$D$5:$D$193, MATCH($A89, 'NZS O&amp;G and CA100'!$B$5:$B$193, 0)) =$B$4, INDEX('NZS O&amp;G and CA100'!$E$5:$N$193, MATCH($A89, 'NZS O&amp;G and CA100'!$B$5:$B$193, 0),MATCH(I$3, 'NZS O&amp;G and CA100'!$E$3:$N$3, 0)),"")</f>
        <v/>
      </c>
      <c r="J89" s="311" t="str">
        <f>IF(INDEX('NZS O&amp;G and CA100'!$D$5:$D$193, MATCH($A89, 'NZS O&amp;G and CA100'!$B$5:$B$193, 0)) =$B$4, INDEX('NZS O&amp;G and CA100'!$E$5:$N$193, MATCH($A89, 'NZS O&amp;G and CA100'!$B$5:$B$193, 0),MATCH(J$3, 'NZS O&amp;G and CA100'!$E$3:$N$3, 0)),"")</f>
        <v/>
      </c>
      <c r="K89" s="311" t="str">
        <f>IF(INDEX('NZS O&amp;G and CA100'!$D$5:$D$193, MATCH($A89, 'NZS O&amp;G and CA100'!$B$5:$B$193, 0)) =$B$4, INDEX('NZS O&amp;G and CA100'!$E$5:$N$193, MATCH($A89, 'NZS O&amp;G and CA100'!$B$5:$B$193, 0),MATCH(K$3, 'NZS O&amp;G and CA100'!$E$3:$N$3, 0)),"")</f>
        <v/>
      </c>
      <c r="L89" s="311" t="str">
        <f>IF(INDEX('NZS O&amp;G and CA100'!$D$5:$D$193, MATCH($A89, 'NZS O&amp;G and CA100'!$B$5:$B$193, 0)) =$B$4, INDEX('NZS O&amp;G and CA100'!$E$5:$N$193, MATCH($A89, 'NZS O&amp;G and CA100'!$B$5:$B$193, 0),MATCH(L$3, 'NZS O&amp;G and CA100'!$E$3:$N$3, 0)),"")</f>
        <v/>
      </c>
      <c r="M89" s="312" t="str">
        <f>IF(INDEX('NZS O&amp;G and CA100'!$D$5:$D$193, MATCH($A89, 'NZS O&amp;G and CA100'!$B$5:$B$193, 0)) =$B$4, INDEX('NZS O&amp;G and CA100'!$E$5:$N$193, MATCH($A89, 'NZS O&amp;G and CA100'!$B$5:$B$193, 0),MATCH(M$3, 'NZS O&amp;G and CA100'!$E$3:$N$3, 0)),"")</f>
        <v/>
      </c>
      <c r="N89" s="1"/>
      <c r="O89" s="185" t="str">
        <f>IF(INDEX('NZS O&amp;G and CA100'!$D$5:$D$193, MATCH($A89, 'NZS O&amp;G and CA100'!$B$5:$B$193, 0)) = "Alignment", INDEX('NZS O&amp;G and CA100'!$E$5:$N$193, MATCH($A89, 'NZS O&amp;G and CA100'!$B$5:$B$193, 0),MATCH(O$4, 'NZS O&amp;G and CA100'!$E$3:$N$3, 0)),"")</f>
        <v>Under development</v>
      </c>
      <c r="P89" s="186" t="str">
        <f>IF(INDEX('NZS O&amp;G and CA100'!$D$5:$D$193, MATCH($A89, 'NZS O&amp;G and CA100'!$B$5:$B$193, 0)) = "Alignment", INDEX('NZS O&amp;G and CA100'!$E$5:$N$193, MATCH($A89, 'NZS O&amp;G and CA100'!$B$5:$B$193, 0),MATCH(P$4, 'NZS O&amp;G and CA100'!$E$3:$N$3, 0)),"")</f>
        <v>Under development</v>
      </c>
      <c r="Q89" s="186" t="str">
        <f>IF(INDEX('NZS O&amp;G and CA100'!$D$5:$D$193, MATCH($A89, 'NZS O&amp;G and CA100'!$B$5:$B$193, 0)) = "Alignment", INDEX('NZS O&amp;G and CA100'!$E$5:$N$193, MATCH($A89, 'NZS O&amp;G and CA100'!$B$5:$B$193, 0),MATCH(Q$4, 'NZS O&amp;G and CA100'!$E$3:$N$3, 0)),"")</f>
        <v>Under development</v>
      </c>
      <c r="R89" s="186" t="str">
        <f>IF(INDEX('NZS O&amp;G and CA100'!$D$5:$D$193, MATCH($A89, 'NZS O&amp;G and CA100'!$B$5:$B$193, 0)) = "Alignment", INDEX('NZS O&amp;G and CA100'!$E$5:$N$193, MATCH($A89, 'NZS O&amp;G and CA100'!$B$5:$B$193, 0),MATCH(R$4, 'NZS O&amp;G and CA100'!$E$3:$N$3, 0)),"")</f>
        <v>Under development</v>
      </c>
      <c r="S89" s="186" t="str">
        <f>IF(INDEX('NZS O&amp;G and CA100'!$D$5:$D$193, MATCH($A89, 'NZS O&amp;G and CA100'!$B$5:$B$193, 0)) = "Alignment", INDEX('NZS O&amp;G and CA100'!$E$5:$N$193, MATCH($A89, 'NZS O&amp;G and CA100'!$B$5:$B$193, 0),MATCH(S$4, 'NZS O&amp;G and CA100'!$E$3:$N$3, 0)),"")</f>
        <v>Under development</v>
      </c>
      <c r="T89" s="186" t="str">
        <f>IF(INDEX('NZS O&amp;G and CA100'!$D$5:$D$193, MATCH($A89, 'NZS O&amp;G and CA100'!$B$5:$B$193, 0)) = "Alignment", INDEX('NZS O&amp;G and CA100'!$E$5:$N$193, MATCH($A89, 'NZS O&amp;G and CA100'!$B$5:$B$193, 0),MATCH(T$4, 'NZS O&amp;G and CA100'!$E$3:$N$3, 0)),"")</f>
        <v>Under development</v>
      </c>
      <c r="U89" s="186" t="str">
        <f>IF(INDEX('NZS O&amp;G and CA100'!$D$5:$D$193, MATCH($A89, 'NZS O&amp;G and CA100'!$B$5:$B$193, 0)) = "Alignment", INDEX('NZS O&amp;G and CA100'!$E$5:$N$193, MATCH($A89, 'NZS O&amp;G and CA100'!$B$5:$B$193, 0),MATCH(U$4, 'NZS O&amp;G and CA100'!$E$3:$N$3, 0)),"")</f>
        <v>Under development</v>
      </c>
      <c r="V89" s="186" t="str">
        <f>IF(INDEX('NZS O&amp;G and CA100'!$D$5:$D$193, MATCH($A89, 'NZS O&amp;G and CA100'!$B$5:$B$193, 0)) = "Alignment", INDEX('NZS O&amp;G and CA100'!$E$5:$N$193, MATCH($A89, 'NZS O&amp;G and CA100'!$B$5:$B$193, 0),MATCH(V$4, 'NZS O&amp;G and CA100'!$E$3:$N$3, 0)),"")</f>
        <v>Under development</v>
      </c>
      <c r="W89" s="186" t="str">
        <f>IF(INDEX('NZS O&amp;G and CA100'!$D$5:$D$193, MATCH($A89, 'NZS O&amp;G and CA100'!$B$5:$B$193, 0)) = "Alignment", INDEX('NZS O&amp;G and CA100'!$E$5:$N$193, MATCH($A89, 'NZS O&amp;G and CA100'!$B$5:$B$193, 0),MATCH(L$3, 'NZS O&amp;G and CA100'!$E$3:$N$3, 0)),"")</f>
        <v>Under development</v>
      </c>
      <c r="X89" s="187" t="str">
        <f>IF(INDEX('NZS O&amp;G and CA100'!$D$5:$D$193, MATCH($A89, 'NZS O&amp;G and CA100'!$B$5:$B$193, 0)) = "Alignment", INDEX('NZS O&amp;G and CA100'!$E$5:$N$193, MATCH($A89, 'NZS O&amp;G and CA100'!$B$5:$B$193, 0),MATCH(M$3, 'NZS O&amp;G and CA100'!$E$3:$N$3, 0)),"")</f>
        <v>Under development</v>
      </c>
      <c r="Y89" s="1"/>
      <c r="Z89" s="55"/>
      <c r="AA89" s="56"/>
      <c r="AB89" s="56"/>
      <c r="AC89" s="56"/>
      <c r="AD89" s="56"/>
      <c r="AE89" s="56"/>
      <c r="AF89" s="56"/>
      <c r="AG89" s="56"/>
      <c r="AH89" s="56"/>
      <c r="AI89" s="57"/>
      <c r="AJ89" s="1"/>
      <c r="AK89" s="49"/>
      <c r="AL89" s="49"/>
      <c r="AM89" s="49"/>
      <c r="AN89" s="49"/>
      <c r="AO89" s="49"/>
    </row>
    <row r="90" spans="1:108" s="50" customFormat="1" ht="20.149999999999999" customHeight="1" outlineLevel="1">
      <c r="A90" s="302" t="s">
        <v>143</v>
      </c>
      <c r="B90" s="239" t="s">
        <v>144</v>
      </c>
      <c r="C90" s="65" t="str">
        <f>VLOOKUP(A90, 'NZS O&amp;G and CA100'!$B$7:$D$194, 3, FALSE)</f>
        <v> </v>
      </c>
      <c r="D90" s="310">
        <f>IF($B$4="Climate Solutions","",(SUM(D91:D108)/COUNT(D91:D108)))</f>
        <v>0.22222222222222221</v>
      </c>
      <c r="E90" s="311">
        <f t="shared" ref="E90:M90" si="27">IF($B$4="Climate Solutions","",(SUM(E91:E108)/COUNT(E91:E108)))</f>
        <v>0.1</v>
      </c>
      <c r="F90" s="311">
        <f t="shared" si="27"/>
        <v>0.22222222222222221</v>
      </c>
      <c r="G90" s="311">
        <f t="shared" si="27"/>
        <v>0</v>
      </c>
      <c r="H90" s="311">
        <f t="shared" si="27"/>
        <v>0</v>
      </c>
      <c r="I90" s="311">
        <f t="shared" si="27"/>
        <v>0</v>
      </c>
      <c r="J90" s="311">
        <f t="shared" si="27"/>
        <v>0.2</v>
      </c>
      <c r="K90" s="311">
        <f t="shared" si="27"/>
        <v>0.22222222222222221</v>
      </c>
      <c r="L90" s="311">
        <f t="shared" si="27"/>
        <v>0</v>
      </c>
      <c r="M90" s="312">
        <f t="shared" si="27"/>
        <v>0.625</v>
      </c>
      <c r="N90" s="1"/>
      <c r="O90" s="55">
        <f>SUM(O98,O99,O100,O101,O102,O103,O106,O108)/COUNT(O98,O99,O100,O101,O102,O103,O106,O108)</f>
        <v>0.2</v>
      </c>
      <c r="P90" s="56">
        <f t="shared" ref="P90:X90" si="28">SUM(P98,P99,P100,P101,P102,P103,P106,P108)/COUNT(P98,P99,P100,P101,P102,P103,P106,P108)</f>
        <v>0</v>
      </c>
      <c r="Q90" s="56">
        <f t="shared" si="28"/>
        <v>0</v>
      </c>
      <c r="R90" s="56">
        <f t="shared" si="28"/>
        <v>0</v>
      </c>
      <c r="S90" s="56">
        <f t="shared" si="28"/>
        <v>0</v>
      </c>
      <c r="T90" s="56">
        <f t="shared" si="28"/>
        <v>0</v>
      </c>
      <c r="U90" s="56">
        <f t="shared" si="28"/>
        <v>0</v>
      </c>
      <c r="V90" s="56">
        <f t="shared" si="28"/>
        <v>0.2</v>
      </c>
      <c r="W90" s="56">
        <f t="shared" si="28"/>
        <v>0</v>
      </c>
      <c r="X90" s="57">
        <f t="shared" si="28"/>
        <v>0.25</v>
      </c>
      <c r="Y90" s="1"/>
      <c r="Z90" s="55"/>
      <c r="AA90" s="56"/>
      <c r="AB90" s="56"/>
      <c r="AC90" s="56"/>
      <c r="AD90" s="56"/>
      <c r="AE90" s="56"/>
      <c r="AF90" s="56"/>
      <c r="AG90" s="56"/>
      <c r="AH90" s="56"/>
      <c r="AI90" s="57"/>
      <c r="AJ90" s="1"/>
      <c r="AK90" s="49"/>
      <c r="AL90" s="49"/>
      <c r="AM90" s="49"/>
      <c r="AN90" s="49"/>
      <c r="AO90" s="49"/>
    </row>
    <row r="91" spans="1:108" s="50" customFormat="1" ht="20.149999999999999" customHeight="1" outlineLevel="2">
      <c r="A91" s="302" t="s">
        <v>331</v>
      </c>
      <c r="B91" s="235" t="s">
        <v>145</v>
      </c>
      <c r="C91" s="236" t="str">
        <f>VLOOKUP(A91, 'NZS O&amp;G and CA100'!$B$7:$D$194, 3, FALSE)</f>
        <v>Disclosure</v>
      </c>
      <c r="D91" s="310">
        <f>IF(INDEX('NZS O&amp;G and CA100'!$D$5:$D$193, MATCH($A91, 'NZS O&amp;G and CA100'!$B$5:$B$193, 0)) =$B$4, INDEX('NZS O&amp;G and CA100'!$E$5:$N$193, MATCH($A91, 'NZS O&amp;G and CA100'!$B$5:$B$193, 0),MATCH(D$3, 'NZS O&amp;G and CA100'!$E$3:$N$3, 0)),"")</f>
        <v>0</v>
      </c>
      <c r="E91" s="311">
        <f>IF(INDEX('NZS O&amp;G and CA100'!$D$5:$D$193, MATCH($A91, 'NZS O&amp;G and CA100'!$B$5:$B$193, 0)) =$B$4, INDEX('NZS O&amp;G and CA100'!$E$5:$N$193, MATCH($A91, 'NZS O&amp;G and CA100'!$B$5:$B$193, 0),MATCH(E$3, 'NZS O&amp;G and CA100'!$E$3:$N$3, 0)),"")</f>
        <v>0</v>
      </c>
      <c r="F91" s="311">
        <f>IF(INDEX('NZS O&amp;G and CA100'!$D$5:$D$193, MATCH($A91, 'NZS O&amp;G and CA100'!$B$5:$B$193, 0)) =$B$4, INDEX('NZS O&amp;G and CA100'!$E$5:$N$193, MATCH($A91, 'NZS O&amp;G and CA100'!$B$5:$B$193, 0),MATCH(F$3, 'NZS O&amp;G and CA100'!$E$3:$N$3, 0)),"")</f>
        <v>0</v>
      </c>
      <c r="G91" s="311">
        <f>IF(INDEX('NZS O&amp;G and CA100'!$D$5:$D$193, MATCH($A91, 'NZS O&amp;G and CA100'!$B$5:$B$193, 0)) =$B$4, INDEX('NZS O&amp;G and CA100'!$E$5:$N$193, MATCH($A91, 'NZS O&amp;G and CA100'!$B$5:$B$193, 0),MATCH(G$3, 'NZS O&amp;G and CA100'!$E$3:$N$3, 0)),"")</f>
        <v>0</v>
      </c>
      <c r="H91" s="311">
        <f>IF(INDEX('NZS O&amp;G and CA100'!$D$5:$D$193, MATCH($A91, 'NZS O&amp;G and CA100'!$B$5:$B$193, 0)) =$B$4, INDEX('NZS O&amp;G and CA100'!$E$5:$N$193, MATCH($A91, 'NZS O&amp;G and CA100'!$B$5:$B$193, 0),MATCH(H$3, 'NZS O&amp;G and CA100'!$E$3:$N$3, 0)),"")</f>
        <v>0</v>
      </c>
      <c r="I91" s="311">
        <f>IF(INDEX('NZS O&amp;G and CA100'!$D$5:$D$193, MATCH($A91, 'NZS O&amp;G and CA100'!$B$5:$B$193, 0)) =$B$4, INDEX('NZS O&amp;G and CA100'!$E$5:$N$193, MATCH($A91, 'NZS O&amp;G and CA100'!$B$5:$B$193, 0),MATCH(I$3, 'NZS O&amp;G and CA100'!$E$3:$N$3, 0)),"")</f>
        <v>0</v>
      </c>
      <c r="J91" s="311">
        <f>IF(INDEX('NZS O&amp;G and CA100'!$D$5:$D$193, MATCH($A91, 'NZS O&amp;G and CA100'!$B$5:$B$193, 0)) =$B$4, INDEX('NZS O&amp;G and CA100'!$E$5:$N$193, MATCH($A91, 'NZS O&amp;G and CA100'!$B$5:$B$193, 0),MATCH(J$3, 'NZS O&amp;G and CA100'!$E$3:$N$3, 0)),"")</f>
        <v>0</v>
      </c>
      <c r="K91" s="311">
        <f>IF(INDEX('NZS O&amp;G and CA100'!$D$5:$D$193, MATCH($A91, 'NZS O&amp;G and CA100'!$B$5:$B$193, 0)) =$B$4, INDEX('NZS O&amp;G and CA100'!$E$5:$N$193, MATCH($A91, 'NZS O&amp;G and CA100'!$B$5:$B$193, 0),MATCH(K$3, 'NZS O&amp;G and CA100'!$E$3:$N$3, 0)),"")</f>
        <v>0</v>
      </c>
      <c r="L91" s="311">
        <f>IF(INDEX('NZS O&amp;G and CA100'!$D$5:$D$193, MATCH($A91, 'NZS O&amp;G and CA100'!$B$5:$B$193, 0)) =$B$4, INDEX('NZS O&amp;G and CA100'!$E$5:$N$193, MATCH($A91, 'NZS O&amp;G and CA100'!$B$5:$B$193, 0),MATCH(L$3, 'NZS O&amp;G and CA100'!$E$3:$N$3, 0)),"")</f>
        <v>0</v>
      </c>
      <c r="M91" s="312">
        <f>IF(INDEX('NZS O&amp;G and CA100'!$D$5:$D$193, MATCH($A91, 'NZS O&amp;G and CA100'!$B$5:$B$193, 0)) =$B$4, INDEX('NZS O&amp;G and CA100'!$E$5:$N$193, MATCH($A91, 'NZS O&amp;G and CA100'!$B$5:$B$193, 0),MATCH(M$3, 'NZS O&amp;G and CA100'!$E$3:$N$3, 0)),"")</f>
        <v>0</v>
      </c>
      <c r="N91" s="1"/>
      <c r="O91" s="55" t="str">
        <f>IF(INDEX('NZS O&amp;G and CA100'!$D$5:$D$193, MATCH($A91, 'NZS O&amp;G and CA100'!$B$5:$B$193, 0)) = "Alignment", INDEX('NZS O&amp;G and CA100'!$E$5:$N$193, MATCH($A91, 'NZS O&amp;G and CA100'!$B$5:$B$193, 0),MATCH(O$4, 'NZS O&amp;G and CA100'!$E$3:$N$3, 0)),"")</f>
        <v/>
      </c>
      <c r="P91" s="56" t="str">
        <f>IF(INDEX('NZS O&amp;G and CA100'!$D$5:$D$193, MATCH($A91, 'NZS O&amp;G and CA100'!$B$5:$B$193, 0)) = "Alignment", INDEX('NZS O&amp;G and CA100'!$E$5:$N$193, MATCH($A91, 'NZS O&amp;G and CA100'!$B$5:$B$193, 0),MATCH(P$4, 'NZS O&amp;G and CA100'!$E$3:$N$3, 0)),"")</f>
        <v/>
      </c>
      <c r="Q91" s="56" t="str">
        <f>IF(INDEX('NZS O&amp;G and CA100'!$D$5:$D$193, MATCH($A91, 'NZS O&amp;G and CA100'!$B$5:$B$193, 0)) = "Alignment", INDEX('NZS O&amp;G and CA100'!$E$5:$N$193, MATCH($A91, 'NZS O&amp;G and CA100'!$B$5:$B$193, 0),MATCH(Q$4, 'NZS O&amp;G and CA100'!$E$3:$N$3, 0)),"")</f>
        <v/>
      </c>
      <c r="R91" s="56" t="str">
        <f>IF(INDEX('NZS O&amp;G and CA100'!$D$5:$D$193, MATCH($A91, 'NZS O&amp;G and CA100'!$B$5:$B$193, 0)) = "Alignment", INDEX('NZS O&amp;G and CA100'!$E$5:$N$193, MATCH($A91, 'NZS O&amp;G and CA100'!$B$5:$B$193, 0),MATCH(R$4, 'NZS O&amp;G and CA100'!$E$3:$N$3, 0)),"")</f>
        <v/>
      </c>
      <c r="S91" s="56" t="str">
        <f>IF(INDEX('NZS O&amp;G and CA100'!$D$5:$D$193, MATCH($A91, 'NZS O&amp;G and CA100'!$B$5:$B$193, 0)) = "Alignment", INDEX('NZS O&amp;G and CA100'!$E$5:$N$193, MATCH($A91, 'NZS O&amp;G and CA100'!$B$5:$B$193, 0),MATCH(S$4, 'NZS O&amp;G and CA100'!$E$3:$N$3, 0)),"")</f>
        <v/>
      </c>
      <c r="T91" s="56" t="str">
        <f>IF(INDEX('NZS O&amp;G and CA100'!$D$5:$D$193, MATCH($A91, 'NZS O&amp;G and CA100'!$B$5:$B$193, 0)) = "Alignment", INDEX('NZS O&amp;G and CA100'!$E$5:$N$193, MATCH($A91, 'NZS O&amp;G and CA100'!$B$5:$B$193, 0),MATCH(T$4, 'NZS O&amp;G and CA100'!$E$3:$N$3, 0)),"")</f>
        <v/>
      </c>
      <c r="U91" s="56" t="str">
        <f>IF(INDEX('NZS O&amp;G and CA100'!$D$5:$D$193, MATCH($A91, 'NZS O&amp;G and CA100'!$B$5:$B$193, 0)) = "Alignment", INDEX('NZS O&amp;G and CA100'!$E$5:$N$193, MATCH($A91, 'NZS O&amp;G and CA100'!$B$5:$B$193, 0),MATCH(U$4, 'NZS O&amp;G and CA100'!$E$3:$N$3, 0)),"")</f>
        <v/>
      </c>
      <c r="V91" s="56" t="str">
        <f>IF(INDEX('NZS O&amp;G and CA100'!$D$5:$D$193, MATCH($A91, 'NZS O&amp;G and CA100'!$B$5:$B$193, 0)) = "Alignment", INDEX('NZS O&amp;G and CA100'!$E$5:$N$193, MATCH($A91, 'NZS O&amp;G and CA100'!$B$5:$B$193, 0),MATCH(V$4, 'NZS O&amp;G and CA100'!$E$3:$N$3, 0)),"")</f>
        <v/>
      </c>
      <c r="W91" s="56" t="str">
        <f>IF(INDEX('NZS O&amp;G and CA100'!$D$5:$D$193, MATCH($A91, 'NZS O&amp;G and CA100'!$B$5:$B$193, 0)) = "Alignment", INDEX('NZS O&amp;G and CA100'!$E$5:$N$193, MATCH($A91, 'NZS O&amp;G and CA100'!$B$5:$B$193, 0),MATCH(L$3, 'NZS O&amp;G and CA100'!$E$3:$N$3, 0)),"")</f>
        <v/>
      </c>
      <c r="X91" s="57" t="str">
        <f>IF(INDEX('NZS O&amp;G and CA100'!$D$5:$D$193, MATCH($A91, 'NZS O&amp;G and CA100'!$B$5:$B$193, 0)) = "Alignment", INDEX('NZS O&amp;G and CA100'!$E$5:$N$193, MATCH($A91, 'NZS O&amp;G and CA100'!$B$5:$B$193, 0),MATCH(M$3, 'NZS O&amp;G and CA100'!$E$3:$N$3, 0)),"")</f>
        <v/>
      </c>
      <c r="Y91" s="1"/>
      <c r="Z91" s="55"/>
      <c r="AA91" s="56"/>
      <c r="AB91" s="56"/>
      <c r="AC91" s="56"/>
      <c r="AD91" s="56"/>
      <c r="AE91" s="56"/>
      <c r="AF91" s="56"/>
      <c r="AG91" s="56"/>
      <c r="AH91" s="56"/>
      <c r="AI91" s="57"/>
      <c r="AJ91" s="1"/>
      <c r="AK91" s="49"/>
      <c r="AL91" s="49"/>
      <c r="AM91" s="49"/>
      <c r="AN91" s="49"/>
      <c r="AO91" s="49"/>
    </row>
    <row r="92" spans="1:108" s="50" customFormat="1" ht="20.149999999999999" customHeight="1" outlineLevel="2">
      <c r="A92" s="302" t="s">
        <v>332</v>
      </c>
      <c r="B92" s="235" t="s">
        <v>146</v>
      </c>
      <c r="C92" s="236" t="str">
        <f>VLOOKUP(A92, 'NZS O&amp;G and CA100'!$B$7:$D$194, 3, FALSE)</f>
        <v>Disclosure</v>
      </c>
      <c r="D92" s="310">
        <f>IF(INDEX('NZS O&amp;G and CA100'!$D$5:$D$193, MATCH($A92, 'NZS O&amp;G and CA100'!$B$5:$B$193, 0)) =$B$4, INDEX('NZS O&amp;G and CA100'!$E$5:$N$193, MATCH($A92, 'NZS O&amp;G and CA100'!$B$5:$B$193, 0),MATCH(D$3, 'NZS O&amp;G and CA100'!$E$3:$N$3, 0)),"")</f>
        <v>0</v>
      </c>
      <c r="E92" s="311">
        <f>IF(INDEX('NZS O&amp;G and CA100'!$D$5:$D$193, MATCH($A92, 'NZS O&amp;G and CA100'!$B$5:$B$193, 0)) =$B$4, INDEX('NZS O&amp;G and CA100'!$E$5:$N$193, MATCH($A92, 'NZS O&amp;G and CA100'!$B$5:$B$193, 0),MATCH(E$3, 'NZS O&amp;G and CA100'!$E$3:$N$3, 0)),"")</f>
        <v>0</v>
      </c>
      <c r="F92" s="311">
        <f>IF(INDEX('NZS O&amp;G and CA100'!$D$5:$D$193, MATCH($A92, 'NZS O&amp;G and CA100'!$B$5:$B$193, 0)) =$B$4, INDEX('NZS O&amp;G and CA100'!$E$5:$N$193, MATCH($A92, 'NZS O&amp;G and CA100'!$B$5:$B$193, 0),MATCH(F$3, 'NZS O&amp;G and CA100'!$E$3:$N$3, 0)),"")</f>
        <v>0</v>
      </c>
      <c r="G92" s="311">
        <f>IF(INDEX('NZS O&amp;G and CA100'!$D$5:$D$193, MATCH($A92, 'NZS O&amp;G and CA100'!$B$5:$B$193, 0)) =$B$4, INDEX('NZS O&amp;G and CA100'!$E$5:$N$193, MATCH($A92, 'NZS O&amp;G and CA100'!$B$5:$B$193, 0),MATCH(G$3, 'NZS O&amp;G and CA100'!$E$3:$N$3, 0)),"")</f>
        <v>0</v>
      </c>
      <c r="H92" s="311">
        <f>IF(INDEX('NZS O&amp;G and CA100'!$D$5:$D$193, MATCH($A92, 'NZS O&amp;G and CA100'!$B$5:$B$193, 0)) =$B$4, INDEX('NZS O&amp;G and CA100'!$E$5:$N$193, MATCH($A92, 'NZS O&amp;G and CA100'!$B$5:$B$193, 0),MATCH(H$3, 'NZS O&amp;G and CA100'!$E$3:$N$3, 0)),"")</f>
        <v>0</v>
      </c>
      <c r="I92" s="311">
        <f>IF(INDEX('NZS O&amp;G and CA100'!$D$5:$D$193, MATCH($A92, 'NZS O&amp;G and CA100'!$B$5:$B$193, 0)) =$B$4, INDEX('NZS O&amp;G and CA100'!$E$5:$N$193, MATCH($A92, 'NZS O&amp;G and CA100'!$B$5:$B$193, 0),MATCH(I$3, 'NZS O&amp;G and CA100'!$E$3:$N$3, 0)),"")</f>
        <v>0</v>
      </c>
      <c r="J92" s="311">
        <f>IF(INDEX('NZS O&amp;G and CA100'!$D$5:$D$193, MATCH($A92, 'NZS O&amp;G and CA100'!$B$5:$B$193, 0)) =$B$4, INDEX('NZS O&amp;G and CA100'!$E$5:$N$193, MATCH($A92, 'NZS O&amp;G and CA100'!$B$5:$B$193, 0),MATCH(J$3, 'NZS O&amp;G and CA100'!$E$3:$N$3, 0)),"")</f>
        <v>0</v>
      </c>
      <c r="K92" s="311">
        <f>IF(INDEX('NZS O&amp;G and CA100'!$D$5:$D$193, MATCH($A92, 'NZS O&amp;G and CA100'!$B$5:$B$193, 0)) =$B$4, INDEX('NZS O&amp;G and CA100'!$E$5:$N$193, MATCH($A92, 'NZS O&amp;G and CA100'!$B$5:$B$193, 0),MATCH(K$3, 'NZS O&amp;G and CA100'!$E$3:$N$3, 0)),"")</f>
        <v>0</v>
      </c>
      <c r="L92" s="311">
        <f>IF(INDEX('NZS O&amp;G and CA100'!$D$5:$D$193, MATCH($A92, 'NZS O&amp;G and CA100'!$B$5:$B$193, 0)) =$B$4, INDEX('NZS O&amp;G and CA100'!$E$5:$N$193, MATCH($A92, 'NZS O&amp;G and CA100'!$B$5:$B$193, 0),MATCH(L$3, 'NZS O&amp;G and CA100'!$E$3:$N$3, 0)),"")</f>
        <v>0</v>
      </c>
      <c r="M92" s="312">
        <f>IF(INDEX('NZS O&amp;G and CA100'!$D$5:$D$193, MATCH($A92, 'NZS O&amp;G and CA100'!$B$5:$B$193, 0)) =$B$4, INDEX('NZS O&amp;G and CA100'!$E$5:$N$193, MATCH($A92, 'NZS O&amp;G and CA100'!$B$5:$B$193, 0),MATCH(M$3, 'NZS O&amp;G and CA100'!$E$3:$N$3, 0)),"")</f>
        <v>1</v>
      </c>
      <c r="N92" s="1"/>
      <c r="O92" s="55" t="str">
        <f>IF(INDEX('NZS O&amp;G and CA100'!$D$5:$D$193, MATCH($A92, 'NZS O&amp;G and CA100'!$B$5:$B$193, 0)) = "Alignment", INDEX('NZS O&amp;G and CA100'!$E$5:$N$193, MATCH($A92, 'NZS O&amp;G and CA100'!$B$5:$B$193, 0),MATCH(O$4, 'NZS O&amp;G and CA100'!$E$3:$N$3, 0)),"")</f>
        <v/>
      </c>
      <c r="P92" s="56" t="str">
        <f>IF(INDEX('NZS O&amp;G and CA100'!$D$5:$D$193, MATCH($A92, 'NZS O&amp;G and CA100'!$B$5:$B$193, 0)) = "Alignment", INDEX('NZS O&amp;G and CA100'!$E$5:$N$193, MATCH($A92, 'NZS O&amp;G and CA100'!$B$5:$B$193, 0),MATCH(P$4, 'NZS O&amp;G and CA100'!$E$3:$N$3, 0)),"")</f>
        <v/>
      </c>
      <c r="Q92" s="56" t="str">
        <f>IF(INDEX('NZS O&amp;G and CA100'!$D$5:$D$193, MATCH($A92, 'NZS O&amp;G and CA100'!$B$5:$B$193, 0)) = "Alignment", INDEX('NZS O&amp;G and CA100'!$E$5:$N$193, MATCH($A92, 'NZS O&amp;G and CA100'!$B$5:$B$193, 0),MATCH(Q$4, 'NZS O&amp;G and CA100'!$E$3:$N$3, 0)),"")</f>
        <v/>
      </c>
      <c r="R92" s="56" t="str">
        <f>IF(INDEX('NZS O&amp;G and CA100'!$D$5:$D$193, MATCH($A92, 'NZS O&amp;G and CA100'!$B$5:$B$193, 0)) = "Alignment", INDEX('NZS O&amp;G and CA100'!$E$5:$N$193, MATCH($A92, 'NZS O&amp;G and CA100'!$B$5:$B$193, 0),MATCH(R$4, 'NZS O&amp;G and CA100'!$E$3:$N$3, 0)),"")</f>
        <v/>
      </c>
      <c r="S92" s="56" t="str">
        <f>IF(INDEX('NZS O&amp;G and CA100'!$D$5:$D$193, MATCH($A92, 'NZS O&amp;G and CA100'!$B$5:$B$193, 0)) = "Alignment", INDEX('NZS O&amp;G and CA100'!$E$5:$N$193, MATCH($A92, 'NZS O&amp;G and CA100'!$B$5:$B$193, 0),MATCH(S$4, 'NZS O&amp;G and CA100'!$E$3:$N$3, 0)),"")</f>
        <v/>
      </c>
      <c r="T92" s="56" t="str">
        <f>IF(INDEX('NZS O&amp;G and CA100'!$D$5:$D$193, MATCH($A92, 'NZS O&amp;G and CA100'!$B$5:$B$193, 0)) = "Alignment", INDEX('NZS O&amp;G and CA100'!$E$5:$N$193, MATCH($A92, 'NZS O&amp;G and CA100'!$B$5:$B$193, 0),MATCH(T$4, 'NZS O&amp;G and CA100'!$E$3:$N$3, 0)),"")</f>
        <v/>
      </c>
      <c r="U92" s="56" t="str">
        <f>IF(INDEX('NZS O&amp;G and CA100'!$D$5:$D$193, MATCH($A92, 'NZS O&amp;G and CA100'!$B$5:$B$193, 0)) = "Alignment", INDEX('NZS O&amp;G and CA100'!$E$5:$N$193, MATCH($A92, 'NZS O&amp;G and CA100'!$B$5:$B$193, 0),MATCH(U$4, 'NZS O&amp;G and CA100'!$E$3:$N$3, 0)),"")</f>
        <v/>
      </c>
      <c r="V92" s="56" t="str">
        <f>IF(INDEX('NZS O&amp;G and CA100'!$D$5:$D$193, MATCH($A92, 'NZS O&amp;G and CA100'!$B$5:$B$193, 0)) = "Alignment", INDEX('NZS O&amp;G and CA100'!$E$5:$N$193, MATCH($A92, 'NZS O&amp;G and CA100'!$B$5:$B$193, 0),MATCH(V$4, 'NZS O&amp;G and CA100'!$E$3:$N$3, 0)),"")</f>
        <v/>
      </c>
      <c r="W92" s="56" t="str">
        <f>IF(INDEX('NZS O&amp;G and CA100'!$D$5:$D$193, MATCH($A92, 'NZS O&amp;G and CA100'!$B$5:$B$193, 0)) = "Alignment", INDEX('NZS O&amp;G and CA100'!$E$5:$N$193, MATCH($A92, 'NZS O&amp;G and CA100'!$B$5:$B$193, 0),MATCH(L$3, 'NZS O&amp;G and CA100'!$E$3:$N$3, 0)),"")</f>
        <v/>
      </c>
      <c r="X92" s="57" t="str">
        <f>IF(INDEX('NZS O&amp;G and CA100'!$D$5:$D$193, MATCH($A92, 'NZS O&amp;G and CA100'!$B$5:$B$193, 0)) = "Alignment", INDEX('NZS O&amp;G and CA100'!$E$5:$N$193, MATCH($A92, 'NZS O&amp;G and CA100'!$B$5:$B$193, 0),MATCH(M$3, 'NZS O&amp;G and CA100'!$E$3:$N$3, 0)),"")</f>
        <v/>
      </c>
      <c r="Y92" s="1"/>
      <c r="Z92" s="55"/>
      <c r="AA92" s="56"/>
      <c r="AB92" s="56"/>
      <c r="AC92" s="56"/>
      <c r="AD92" s="56"/>
      <c r="AE92" s="56"/>
      <c r="AF92" s="56"/>
      <c r="AG92" s="56"/>
      <c r="AH92" s="56"/>
      <c r="AI92" s="57"/>
      <c r="AJ92" s="1"/>
      <c r="AK92" s="49"/>
      <c r="AL92" s="49"/>
      <c r="AM92" s="49"/>
      <c r="AN92" s="349"/>
      <c r="AO92" s="349"/>
      <c r="AP92" s="349"/>
    </row>
    <row r="93" spans="1:108" s="50" customFormat="1" ht="20.149999999999999" customHeight="1" outlineLevel="2">
      <c r="A93" s="302" t="s">
        <v>333</v>
      </c>
      <c r="B93" s="235" t="s">
        <v>147</v>
      </c>
      <c r="C93" s="236" t="str">
        <f>VLOOKUP(A93, 'NZS O&amp;G and CA100'!$B$7:$D$194, 3, FALSE)</f>
        <v>Disclosure</v>
      </c>
      <c r="D93" s="310">
        <f>IF(INDEX('NZS O&amp;G and CA100'!$D$5:$D$193, MATCH($A93, 'NZS O&amp;G and CA100'!$B$5:$B$193, 0)) =$B$4, INDEX('NZS O&amp;G and CA100'!$E$5:$N$193, MATCH($A93, 'NZS O&amp;G and CA100'!$B$5:$B$193, 0),MATCH(D$3, 'NZS O&amp;G and CA100'!$E$3:$N$3, 0)),"")</f>
        <v>0</v>
      </c>
      <c r="E93" s="311">
        <f>IF(INDEX('NZS O&amp;G and CA100'!$D$5:$D$193, MATCH($A93, 'NZS O&amp;G and CA100'!$B$5:$B$193, 0)) =$B$4, INDEX('NZS O&amp;G and CA100'!$E$5:$N$193, MATCH($A93, 'NZS O&amp;G and CA100'!$B$5:$B$193, 0),MATCH(E$3, 'NZS O&amp;G and CA100'!$E$3:$N$3, 0)),"")</f>
        <v>0</v>
      </c>
      <c r="F93" s="311">
        <f>IF(INDEX('NZS O&amp;G and CA100'!$D$5:$D$193, MATCH($A93, 'NZS O&amp;G and CA100'!$B$5:$B$193, 0)) =$B$4, INDEX('NZS O&amp;G and CA100'!$E$5:$N$193, MATCH($A93, 'NZS O&amp;G and CA100'!$B$5:$B$193, 0),MATCH(F$3, 'NZS O&amp;G and CA100'!$E$3:$N$3, 0)),"")</f>
        <v>0</v>
      </c>
      <c r="G93" s="311">
        <f>IF(INDEX('NZS O&amp;G and CA100'!$D$5:$D$193, MATCH($A93, 'NZS O&amp;G and CA100'!$B$5:$B$193, 0)) =$B$4, INDEX('NZS O&amp;G and CA100'!$E$5:$N$193, MATCH($A93, 'NZS O&amp;G and CA100'!$B$5:$B$193, 0),MATCH(G$3, 'NZS O&amp;G and CA100'!$E$3:$N$3, 0)),"")</f>
        <v>0</v>
      </c>
      <c r="H93" s="311">
        <f>IF(INDEX('NZS O&amp;G and CA100'!$D$5:$D$193, MATCH($A93, 'NZS O&amp;G and CA100'!$B$5:$B$193, 0)) =$B$4, INDEX('NZS O&amp;G and CA100'!$E$5:$N$193, MATCH($A93, 'NZS O&amp;G and CA100'!$B$5:$B$193, 0),MATCH(H$3, 'NZS O&amp;G and CA100'!$E$3:$N$3, 0)),"")</f>
        <v>0</v>
      </c>
      <c r="I93" s="311">
        <f>IF(INDEX('NZS O&amp;G and CA100'!$D$5:$D$193, MATCH($A93, 'NZS O&amp;G and CA100'!$B$5:$B$193, 0)) =$B$4, INDEX('NZS O&amp;G and CA100'!$E$5:$N$193, MATCH($A93, 'NZS O&amp;G and CA100'!$B$5:$B$193, 0),MATCH(I$3, 'NZS O&amp;G and CA100'!$E$3:$N$3, 0)),"")</f>
        <v>0</v>
      </c>
      <c r="J93" s="311">
        <f>IF(INDEX('NZS O&amp;G and CA100'!$D$5:$D$193, MATCH($A93, 'NZS O&amp;G and CA100'!$B$5:$B$193, 0)) =$B$4, INDEX('NZS O&amp;G and CA100'!$E$5:$N$193, MATCH($A93, 'NZS O&amp;G and CA100'!$B$5:$B$193, 0),MATCH(J$3, 'NZS O&amp;G and CA100'!$E$3:$N$3, 0)),"")</f>
        <v>0</v>
      </c>
      <c r="K93" s="311">
        <f>IF(INDEX('NZS O&amp;G and CA100'!$D$5:$D$193, MATCH($A93, 'NZS O&amp;G and CA100'!$B$5:$B$193, 0)) =$B$4, INDEX('NZS O&amp;G and CA100'!$E$5:$N$193, MATCH($A93, 'NZS O&amp;G and CA100'!$B$5:$B$193, 0),MATCH(K$3, 'NZS O&amp;G and CA100'!$E$3:$N$3, 0)),"")</f>
        <v>0</v>
      </c>
      <c r="L93" s="311">
        <f>IF(INDEX('NZS O&amp;G and CA100'!$D$5:$D$193, MATCH($A93, 'NZS O&amp;G and CA100'!$B$5:$B$193, 0)) =$B$4, INDEX('NZS O&amp;G and CA100'!$E$5:$N$193, MATCH($A93, 'NZS O&amp;G and CA100'!$B$5:$B$193, 0),MATCH(L$3, 'NZS O&amp;G and CA100'!$E$3:$N$3, 0)),"")</f>
        <v>0</v>
      </c>
      <c r="M93" s="312">
        <f>IF(INDEX('NZS O&amp;G and CA100'!$D$5:$D$193, MATCH($A93, 'NZS O&amp;G and CA100'!$B$5:$B$193, 0)) =$B$4, INDEX('NZS O&amp;G and CA100'!$E$5:$N$193, MATCH($A93, 'NZS O&amp;G and CA100'!$B$5:$B$193, 0),MATCH(M$3, 'NZS O&amp;G and CA100'!$E$3:$N$3, 0)),"")</f>
        <v>1</v>
      </c>
      <c r="N93" s="1"/>
      <c r="O93" s="55" t="str">
        <f>IF(INDEX('NZS O&amp;G and CA100'!$D$5:$D$193, MATCH($A93, 'NZS O&amp;G and CA100'!$B$5:$B$193, 0)) = "Alignment", INDEX('NZS O&amp;G and CA100'!$E$5:$N$193, MATCH($A93, 'NZS O&amp;G and CA100'!$B$5:$B$193, 0),MATCH(O$4, 'NZS O&amp;G and CA100'!$E$3:$N$3, 0)),"")</f>
        <v/>
      </c>
      <c r="P93" s="56" t="str">
        <f>IF(INDEX('NZS O&amp;G and CA100'!$D$5:$D$193, MATCH($A93, 'NZS O&amp;G and CA100'!$B$5:$B$193, 0)) = "Alignment", INDEX('NZS O&amp;G and CA100'!$E$5:$N$193, MATCH($A93, 'NZS O&amp;G and CA100'!$B$5:$B$193, 0),MATCH(P$4, 'NZS O&amp;G and CA100'!$E$3:$N$3, 0)),"")</f>
        <v/>
      </c>
      <c r="Q93" s="56" t="str">
        <f>IF(INDEX('NZS O&amp;G and CA100'!$D$5:$D$193, MATCH($A93, 'NZS O&amp;G and CA100'!$B$5:$B$193, 0)) = "Alignment", INDEX('NZS O&amp;G and CA100'!$E$5:$N$193, MATCH($A93, 'NZS O&amp;G and CA100'!$B$5:$B$193, 0),MATCH(Q$4, 'NZS O&amp;G and CA100'!$E$3:$N$3, 0)),"")</f>
        <v/>
      </c>
      <c r="R93" s="56" t="str">
        <f>IF(INDEX('NZS O&amp;G and CA100'!$D$5:$D$193, MATCH($A93, 'NZS O&amp;G and CA100'!$B$5:$B$193, 0)) = "Alignment", INDEX('NZS O&amp;G and CA100'!$E$5:$N$193, MATCH($A93, 'NZS O&amp;G and CA100'!$B$5:$B$193, 0),MATCH(R$4, 'NZS O&amp;G and CA100'!$E$3:$N$3, 0)),"")</f>
        <v/>
      </c>
      <c r="S93" s="56" t="str">
        <f>IF(INDEX('NZS O&amp;G and CA100'!$D$5:$D$193, MATCH($A93, 'NZS O&amp;G and CA100'!$B$5:$B$193, 0)) = "Alignment", INDEX('NZS O&amp;G and CA100'!$E$5:$N$193, MATCH($A93, 'NZS O&amp;G and CA100'!$B$5:$B$193, 0),MATCH(S$4, 'NZS O&amp;G and CA100'!$E$3:$N$3, 0)),"")</f>
        <v/>
      </c>
      <c r="T93" s="56" t="str">
        <f>IF(INDEX('NZS O&amp;G and CA100'!$D$5:$D$193, MATCH($A93, 'NZS O&amp;G and CA100'!$B$5:$B$193, 0)) = "Alignment", INDEX('NZS O&amp;G and CA100'!$E$5:$N$193, MATCH($A93, 'NZS O&amp;G and CA100'!$B$5:$B$193, 0),MATCH(T$4, 'NZS O&amp;G and CA100'!$E$3:$N$3, 0)),"")</f>
        <v/>
      </c>
      <c r="U93" s="56" t="str">
        <f>IF(INDEX('NZS O&amp;G and CA100'!$D$5:$D$193, MATCH($A93, 'NZS O&amp;G and CA100'!$B$5:$B$193, 0)) = "Alignment", INDEX('NZS O&amp;G and CA100'!$E$5:$N$193, MATCH($A93, 'NZS O&amp;G and CA100'!$B$5:$B$193, 0),MATCH(U$4, 'NZS O&amp;G and CA100'!$E$3:$N$3, 0)),"")</f>
        <v/>
      </c>
      <c r="V93" s="56" t="str">
        <f>IF(INDEX('NZS O&amp;G and CA100'!$D$5:$D$193, MATCH($A93, 'NZS O&amp;G and CA100'!$B$5:$B$193, 0)) = "Alignment", INDEX('NZS O&amp;G and CA100'!$E$5:$N$193, MATCH($A93, 'NZS O&amp;G and CA100'!$B$5:$B$193, 0),MATCH(V$4, 'NZS O&amp;G and CA100'!$E$3:$N$3, 0)),"")</f>
        <v/>
      </c>
      <c r="W93" s="56" t="str">
        <f>IF(INDEX('NZS O&amp;G and CA100'!$D$5:$D$193, MATCH($A93, 'NZS O&amp;G and CA100'!$B$5:$B$193, 0)) = "Alignment", INDEX('NZS O&amp;G and CA100'!$E$5:$N$193, MATCH($A93, 'NZS O&amp;G and CA100'!$B$5:$B$193, 0),MATCH(L$3, 'NZS O&amp;G and CA100'!$E$3:$N$3, 0)),"")</f>
        <v/>
      </c>
      <c r="X93" s="57" t="str">
        <f>IF(INDEX('NZS O&amp;G and CA100'!$D$5:$D$193, MATCH($A93, 'NZS O&amp;G and CA100'!$B$5:$B$193, 0)) = "Alignment", INDEX('NZS O&amp;G and CA100'!$E$5:$N$193, MATCH($A93, 'NZS O&amp;G and CA100'!$B$5:$B$193, 0),MATCH(M$3, 'NZS O&amp;G and CA100'!$E$3:$N$3, 0)),"")</f>
        <v/>
      </c>
      <c r="Y93" s="1"/>
      <c r="Z93" s="55"/>
      <c r="AA93" s="56"/>
      <c r="AB93" s="56"/>
      <c r="AC93" s="56"/>
      <c r="AD93" s="56"/>
      <c r="AE93" s="56"/>
      <c r="AF93" s="56"/>
      <c r="AG93" s="56"/>
      <c r="AH93" s="56"/>
      <c r="AI93" s="57"/>
      <c r="AJ93" s="1"/>
      <c r="AK93" s="49"/>
      <c r="AL93" s="49"/>
      <c r="AM93" s="49"/>
      <c r="AN93" s="349"/>
      <c r="AO93" s="349"/>
      <c r="AP93" s="349"/>
    </row>
    <row r="94" spans="1:108" s="50" customFormat="1" ht="20.149999999999999" customHeight="1" outlineLevel="2">
      <c r="A94" s="302" t="s">
        <v>334</v>
      </c>
      <c r="B94" s="235" t="s">
        <v>148</v>
      </c>
      <c r="C94" s="236" t="str">
        <f>VLOOKUP(A94, 'NZS O&amp;G and CA100'!$B$7:$D$194, 3, FALSE)</f>
        <v>Disclosure</v>
      </c>
      <c r="D94" s="310">
        <f>IF(INDEX('NZS O&amp;G and CA100'!$D$5:$D$193, MATCH($A94, 'NZS O&amp;G and CA100'!$B$5:$B$193, 0)) =$B$4, INDEX('NZS O&amp;G and CA100'!$E$5:$N$193, MATCH($A94, 'NZS O&amp;G and CA100'!$B$5:$B$193, 0),MATCH(D$3, 'NZS O&amp;G and CA100'!$E$3:$N$3, 0)),"")</f>
        <v>0</v>
      </c>
      <c r="E94" s="311">
        <f>IF(INDEX('NZS O&amp;G and CA100'!$D$5:$D$193, MATCH($A94, 'NZS O&amp;G and CA100'!$B$5:$B$193, 0)) =$B$4, INDEX('NZS O&amp;G and CA100'!$E$5:$N$193, MATCH($A94, 'NZS O&amp;G and CA100'!$B$5:$B$193, 0),MATCH(E$3, 'NZS O&amp;G and CA100'!$E$3:$N$3, 0)),"")</f>
        <v>0</v>
      </c>
      <c r="F94" s="311">
        <f>IF(INDEX('NZS O&amp;G and CA100'!$D$5:$D$193, MATCH($A94, 'NZS O&amp;G and CA100'!$B$5:$B$193, 0)) =$B$4, INDEX('NZS O&amp;G and CA100'!$E$5:$N$193, MATCH($A94, 'NZS O&amp;G and CA100'!$B$5:$B$193, 0),MATCH(F$3, 'NZS O&amp;G and CA100'!$E$3:$N$3, 0)),"")</f>
        <v>0</v>
      </c>
      <c r="G94" s="311">
        <f>IF(INDEX('NZS O&amp;G and CA100'!$D$5:$D$193, MATCH($A94, 'NZS O&amp;G and CA100'!$B$5:$B$193, 0)) =$B$4, INDEX('NZS O&amp;G and CA100'!$E$5:$N$193, MATCH($A94, 'NZS O&amp;G and CA100'!$B$5:$B$193, 0),MATCH(G$3, 'NZS O&amp;G and CA100'!$E$3:$N$3, 0)),"")</f>
        <v>0</v>
      </c>
      <c r="H94" s="311">
        <f>IF(INDEX('NZS O&amp;G and CA100'!$D$5:$D$193, MATCH($A94, 'NZS O&amp;G and CA100'!$B$5:$B$193, 0)) =$B$4, INDEX('NZS O&amp;G and CA100'!$E$5:$N$193, MATCH($A94, 'NZS O&amp;G and CA100'!$B$5:$B$193, 0),MATCH(H$3, 'NZS O&amp;G and CA100'!$E$3:$N$3, 0)),"")</f>
        <v>0</v>
      </c>
      <c r="I94" s="311">
        <f>IF(INDEX('NZS O&amp;G and CA100'!$D$5:$D$193, MATCH($A94, 'NZS O&amp;G and CA100'!$B$5:$B$193, 0)) =$B$4, INDEX('NZS O&amp;G and CA100'!$E$5:$N$193, MATCH($A94, 'NZS O&amp;G and CA100'!$B$5:$B$193, 0),MATCH(I$3, 'NZS O&amp;G and CA100'!$E$3:$N$3, 0)),"")</f>
        <v>0</v>
      </c>
      <c r="J94" s="311">
        <f>IF(INDEX('NZS O&amp;G and CA100'!$D$5:$D$193, MATCH($A94, 'NZS O&amp;G and CA100'!$B$5:$B$193, 0)) =$B$4, INDEX('NZS O&amp;G and CA100'!$E$5:$N$193, MATCH($A94, 'NZS O&amp;G and CA100'!$B$5:$B$193, 0),MATCH(J$3, 'NZS O&amp;G and CA100'!$E$3:$N$3, 0)),"")</f>
        <v>1</v>
      </c>
      <c r="K94" s="311">
        <f>IF(INDEX('NZS O&amp;G and CA100'!$D$5:$D$193, MATCH($A94, 'NZS O&amp;G and CA100'!$B$5:$B$193, 0)) =$B$4, INDEX('NZS O&amp;G and CA100'!$E$5:$N$193, MATCH($A94, 'NZS O&amp;G and CA100'!$B$5:$B$193, 0),MATCH(K$3, 'NZS O&amp;G and CA100'!$E$3:$N$3, 0)),"")</f>
        <v>0</v>
      </c>
      <c r="L94" s="311">
        <f>IF(INDEX('NZS O&amp;G and CA100'!$D$5:$D$193, MATCH($A94, 'NZS O&amp;G and CA100'!$B$5:$B$193, 0)) =$B$4, INDEX('NZS O&amp;G and CA100'!$E$5:$N$193, MATCH($A94, 'NZS O&amp;G and CA100'!$B$5:$B$193, 0),MATCH(L$3, 'NZS O&amp;G and CA100'!$E$3:$N$3, 0)),"")</f>
        <v>0</v>
      </c>
      <c r="M94" s="312" t="str">
        <f>IF(INDEX('NZS O&amp;G and CA100'!$D$5:$D$193, MATCH($A94, 'NZS O&amp;G and CA100'!$B$5:$B$193, 0)) =$B$4, INDEX('NZS O&amp;G and CA100'!$E$5:$N$193, MATCH($A94, 'NZS O&amp;G and CA100'!$B$5:$B$193, 0),MATCH(M$3, 'NZS O&amp;G and CA100'!$E$3:$N$3, 0)),"")</f>
        <v>Not Applicable</v>
      </c>
      <c r="N94" s="1"/>
      <c r="O94" s="55" t="str">
        <f>IF(INDEX('NZS O&amp;G and CA100'!$D$5:$D$193, MATCH($A94, 'NZS O&amp;G and CA100'!$B$5:$B$193, 0)) = "Alignment", INDEX('NZS O&amp;G and CA100'!$E$5:$N$193, MATCH($A94, 'NZS O&amp;G and CA100'!$B$5:$B$193, 0),MATCH(O$4, 'NZS O&amp;G and CA100'!$E$3:$N$3, 0)),"")</f>
        <v/>
      </c>
      <c r="P94" s="56" t="str">
        <f>IF(INDEX('NZS O&amp;G and CA100'!$D$5:$D$193, MATCH($A94, 'NZS O&amp;G and CA100'!$B$5:$B$193, 0)) = "Alignment", INDEX('NZS O&amp;G and CA100'!$E$5:$N$193, MATCH($A94, 'NZS O&amp;G and CA100'!$B$5:$B$193, 0),MATCH(P$4, 'NZS O&amp;G and CA100'!$E$3:$N$3, 0)),"")</f>
        <v/>
      </c>
      <c r="Q94" s="56" t="str">
        <f>IF(INDEX('NZS O&amp;G and CA100'!$D$5:$D$193, MATCH($A94, 'NZS O&amp;G and CA100'!$B$5:$B$193, 0)) = "Alignment", INDEX('NZS O&amp;G and CA100'!$E$5:$N$193, MATCH($A94, 'NZS O&amp;G and CA100'!$B$5:$B$193, 0),MATCH(Q$4, 'NZS O&amp;G and CA100'!$E$3:$N$3, 0)),"")</f>
        <v/>
      </c>
      <c r="R94" s="56" t="str">
        <f>IF(INDEX('NZS O&amp;G and CA100'!$D$5:$D$193, MATCH($A94, 'NZS O&amp;G and CA100'!$B$5:$B$193, 0)) = "Alignment", INDEX('NZS O&amp;G and CA100'!$E$5:$N$193, MATCH($A94, 'NZS O&amp;G and CA100'!$B$5:$B$193, 0),MATCH(R$4, 'NZS O&amp;G and CA100'!$E$3:$N$3, 0)),"")</f>
        <v/>
      </c>
      <c r="S94" s="56" t="str">
        <f>IF(INDEX('NZS O&amp;G and CA100'!$D$5:$D$193, MATCH($A94, 'NZS O&amp;G and CA100'!$B$5:$B$193, 0)) = "Alignment", INDEX('NZS O&amp;G and CA100'!$E$5:$N$193, MATCH($A94, 'NZS O&amp;G and CA100'!$B$5:$B$193, 0),MATCH(S$4, 'NZS O&amp;G and CA100'!$E$3:$N$3, 0)),"")</f>
        <v/>
      </c>
      <c r="T94" s="56" t="str">
        <f>IF(INDEX('NZS O&amp;G and CA100'!$D$5:$D$193, MATCH($A94, 'NZS O&amp;G and CA100'!$B$5:$B$193, 0)) = "Alignment", INDEX('NZS O&amp;G and CA100'!$E$5:$N$193, MATCH($A94, 'NZS O&amp;G and CA100'!$B$5:$B$193, 0),MATCH(T$4, 'NZS O&amp;G and CA100'!$E$3:$N$3, 0)),"")</f>
        <v/>
      </c>
      <c r="U94" s="56" t="str">
        <f>IF(INDEX('NZS O&amp;G and CA100'!$D$5:$D$193, MATCH($A94, 'NZS O&amp;G and CA100'!$B$5:$B$193, 0)) = "Alignment", INDEX('NZS O&amp;G and CA100'!$E$5:$N$193, MATCH($A94, 'NZS O&amp;G and CA100'!$B$5:$B$193, 0),MATCH(U$4, 'NZS O&amp;G and CA100'!$E$3:$N$3, 0)),"")</f>
        <v/>
      </c>
      <c r="V94" s="56" t="str">
        <f>IF(INDEX('NZS O&amp;G and CA100'!$D$5:$D$193, MATCH($A94, 'NZS O&amp;G and CA100'!$B$5:$B$193, 0)) = "Alignment", INDEX('NZS O&amp;G and CA100'!$E$5:$N$193, MATCH($A94, 'NZS O&amp;G and CA100'!$B$5:$B$193, 0),MATCH(V$4, 'NZS O&amp;G and CA100'!$E$3:$N$3, 0)),"")</f>
        <v/>
      </c>
      <c r="W94" s="56" t="str">
        <f>IF(INDEX('NZS O&amp;G and CA100'!$D$5:$D$193, MATCH($A94, 'NZS O&amp;G and CA100'!$B$5:$B$193, 0)) = "Alignment", INDEX('NZS O&amp;G and CA100'!$E$5:$N$193, MATCH($A94, 'NZS O&amp;G and CA100'!$B$5:$B$193, 0),MATCH(L$3, 'NZS O&amp;G and CA100'!$E$3:$N$3, 0)),"")</f>
        <v/>
      </c>
      <c r="X94" s="57" t="str">
        <f>IF(INDEX('NZS O&amp;G and CA100'!$D$5:$D$193, MATCH($A94, 'NZS O&amp;G and CA100'!$B$5:$B$193, 0)) = "Alignment", INDEX('NZS O&amp;G and CA100'!$E$5:$N$193, MATCH($A94, 'NZS O&amp;G and CA100'!$B$5:$B$193, 0),MATCH(M$3, 'NZS O&amp;G and CA100'!$E$3:$N$3, 0)),"")</f>
        <v/>
      </c>
      <c r="Y94" s="1"/>
      <c r="Z94" s="55"/>
      <c r="AA94" s="56"/>
      <c r="AB94" s="56"/>
      <c r="AC94" s="56"/>
      <c r="AD94" s="56"/>
      <c r="AE94" s="56"/>
      <c r="AF94" s="56"/>
      <c r="AG94" s="56"/>
      <c r="AH94" s="56"/>
      <c r="AI94" s="57"/>
      <c r="AJ94" s="1"/>
      <c r="AK94" s="49"/>
      <c r="AL94" s="49"/>
      <c r="AM94" s="49"/>
      <c r="AN94" s="49"/>
      <c r="AO94" s="49"/>
    </row>
    <row r="95" spans="1:108" s="50" customFormat="1" ht="20.149999999999999" customHeight="1" outlineLevel="2">
      <c r="A95" s="302" t="s">
        <v>335</v>
      </c>
      <c r="B95" s="235" t="s">
        <v>149</v>
      </c>
      <c r="C95" s="236" t="str">
        <f>VLOOKUP(A95, 'NZS O&amp;G and CA100'!$B$7:$D$194, 3, FALSE)</f>
        <v>Disclosure</v>
      </c>
      <c r="D95" s="310">
        <f>IF(INDEX('NZS O&amp;G and CA100'!$D$5:$D$193, MATCH($A95, 'NZS O&amp;G and CA100'!$B$5:$B$193, 0)) =$B$4, INDEX('NZS O&amp;G and CA100'!$E$5:$N$193, MATCH($A95, 'NZS O&amp;G and CA100'!$B$5:$B$193, 0),MATCH(D$3, 'NZS O&amp;G and CA100'!$E$3:$N$3, 0)),"")</f>
        <v>1</v>
      </c>
      <c r="E95" s="311">
        <f>IF(INDEX('NZS O&amp;G and CA100'!$D$5:$D$193, MATCH($A95, 'NZS O&amp;G and CA100'!$B$5:$B$193, 0)) =$B$4, INDEX('NZS O&amp;G and CA100'!$E$5:$N$193, MATCH($A95, 'NZS O&amp;G and CA100'!$B$5:$B$193, 0),MATCH(E$3, 'NZS O&amp;G and CA100'!$E$3:$N$3, 0)),"")</f>
        <v>0</v>
      </c>
      <c r="F95" s="311">
        <f>IF(INDEX('NZS O&amp;G and CA100'!$D$5:$D$193, MATCH($A95, 'NZS O&amp;G and CA100'!$B$5:$B$193, 0)) =$B$4, INDEX('NZS O&amp;G and CA100'!$E$5:$N$193, MATCH($A95, 'NZS O&amp;G and CA100'!$B$5:$B$193, 0),MATCH(F$3, 'NZS O&amp;G and CA100'!$E$3:$N$3, 0)),"")</f>
        <v>1</v>
      </c>
      <c r="G95" s="311">
        <f>IF(INDEX('NZS O&amp;G and CA100'!$D$5:$D$193, MATCH($A95, 'NZS O&amp;G and CA100'!$B$5:$B$193, 0)) =$B$4, INDEX('NZS O&amp;G and CA100'!$E$5:$N$193, MATCH($A95, 'NZS O&amp;G and CA100'!$B$5:$B$193, 0),MATCH(G$3, 'NZS O&amp;G and CA100'!$E$3:$N$3, 0)),"")</f>
        <v>0</v>
      </c>
      <c r="H95" s="311">
        <f>IF(INDEX('NZS O&amp;G and CA100'!$D$5:$D$193, MATCH($A95, 'NZS O&amp;G and CA100'!$B$5:$B$193, 0)) =$B$4, INDEX('NZS O&amp;G and CA100'!$E$5:$N$193, MATCH($A95, 'NZS O&amp;G and CA100'!$B$5:$B$193, 0),MATCH(H$3, 'NZS O&amp;G and CA100'!$E$3:$N$3, 0)),"")</f>
        <v>0</v>
      </c>
      <c r="I95" s="311">
        <f>IF(INDEX('NZS O&amp;G and CA100'!$D$5:$D$193, MATCH($A95, 'NZS O&amp;G and CA100'!$B$5:$B$193, 0)) =$B$4, INDEX('NZS O&amp;G and CA100'!$E$5:$N$193, MATCH($A95, 'NZS O&amp;G and CA100'!$B$5:$B$193, 0),MATCH(I$3, 'NZS O&amp;G and CA100'!$E$3:$N$3, 0)),"")</f>
        <v>0</v>
      </c>
      <c r="J95" s="311">
        <f>IF(INDEX('NZS O&amp;G and CA100'!$D$5:$D$193, MATCH($A95, 'NZS O&amp;G and CA100'!$B$5:$B$193, 0)) =$B$4, INDEX('NZS O&amp;G and CA100'!$E$5:$N$193, MATCH($A95, 'NZS O&amp;G and CA100'!$B$5:$B$193, 0),MATCH(J$3, 'NZS O&amp;G and CA100'!$E$3:$N$3, 0)),"")</f>
        <v>0</v>
      </c>
      <c r="K95" s="311">
        <f>IF(INDEX('NZS O&amp;G and CA100'!$D$5:$D$193, MATCH($A95, 'NZS O&amp;G and CA100'!$B$5:$B$193, 0)) =$B$4, INDEX('NZS O&amp;G and CA100'!$E$5:$N$193, MATCH($A95, 'NZS O&amp;G and CA100'!$B$5:$B$193, 0),MATCH(K$3, 'NZS O&amp;G and CA100'!$E$3:$N$3, 0)),"")</f>
        <v>1</v>
      </c>
      <c r="L95" s="311">
        <f>IF(INDEX('NZS O&amp;G and CA100'!$D$5:$D$193, MATCH($A95, 'NZS O&amp;G and CA100'!$B$5:$B$193, 0)) =$B$4, INDEX('NZS O&amp;G and CA100'!$E$5:$N$193, MATCH($A95, 'NZS O&amp;G and CA100'!$B$5:$B$193, 0),MATCH(L$3, 'NZS O&amp;G and CA100'!$E$3:$N$3, 0)),"")</f>
        <v>0</v>
      </c>
      <c r="M95" s="312">
        <f>IF(INDEX('NZS O&amp;G and CA100'!$D$5:$D$193, MATCH($A95, 'NZS O&amp;G and CA100'!$B$5:$B$193, 0)) =$B$4, INDEX('NZS O&amp;G and CA100'!$E$5:$N$193, MATCH($A95, 'NZS O&amp;G and CA100'!$B$5:$B$193, 0),MATCH(M$3, 'NZS O&amp;G and CA100'!$E$3:$N$3, 0)),"")</f>
        <v>1</v>
      </c>
      <c r="N95" s="1"/>
      <c r="O95" s="55" t="str">
        <f>IF(INDEX('NZS O&amp;G and CA100'!$D$5:$D$193, MATCH($A95, 'NZS O&amp;G and CA100'!$B$5:$B$193, 0)) = "Alignment", INDEX('NZS O&amp;G and CA100'!$E$5:$N$193, MATCH($A95, 'NZS O&amp;G and CA100'!$B$5:$B$193, 0),MATCH(O$4, 'NZS O&amp;G and CA100'!$E$3:$N$3, 0)),"")</f>
        <v/>
      </c>
      <c r="P95" s="56" t="str">
        <f>IF(INDEX('NZS O&amp;G and CA100'!$D$5:$D$193, MATCH($A95, 'NZS O&amp;G and CA100'!$B$5:$B$193, 0)) = "Alignment", INDEX('NZS O&amp;G and CA100'!$E$5:$N$193, MATCH($A95, 'NZS O&amp;G and CA100'!$B$5:$B$193, 0),MATCH(P$4, 'NZS O&amp;G and CA100'!$E$3:$N$3, 0)),"")</f>
        <v/>
      </c>
      <c r="Q95" s="56" t="str">
        <f>IF(INDEX('NZS O&amp;G and CA100'!$D$5:$D$193, MATCH($A95, 'NZS O&amp;G and CA100'!$B$5:$B$193, 0)) = "Alignment", INDEX('NZS O&amp;G and CA100'!$E$5:$N$193, MATCH($A95, 'NZS O&amp;G and CA100'!$B$5:$B$193, 0),MATCH(Q$4, 'NZS O&amp;G and CA100'!$E$3:$N$3, 0)),"")</f>
        <v/>
      </c>
      <c r="R95" s="56" t="str">
        <f>IF(INDEX('NZS O&amp;G and CA100'!$D$5:$D$193, MATCH($A95, 'NZS O&amp;G and CA100'!$B$5:$B$193, 0)) = "Alignment", INDEX('NZS O&amp;G and CA100'!$E$5:$N$193, MATCH($A95, 'NZS O&amp;G and CA100'!$B$5:$B$193, 0),MATCH(R$4, 'NZS O&amp;G and CA100'!$E$3:$N$3, 0)),"")</f>
        <v/>
      </c>
      <c r="S95" s="56" t="str">
        <f>IF(INDEX('NZS O&amp;G and CA100'!$D$5:$D$193, MATCH($A95, 'NZS O&amp;G and CA100'!$B$5:$B$193, 0)) = "Alignment", INDEX('NZS O&amp;G and CA100'!$E$5:$N$193, MATCH($A95, 'NZS O&amp;G and CA100'!$B$5:$B$193, 0),MATCH(S$4, 'NZS O&amp;G and CA100'!$E$3:$N$3, 0)),"")</f>
        <v/>
      </c>
      <c r="T95" s="56" t="str">
        <f>IF(INDEX('NZS O&amp;G and CA100'!$D$5:$D$193, MATCH($A95, 'NZS O&amp;G and CA100'!$B$5:$B$193, 0)) = "Alignment", INDEX('NZS O&amp;G and CA100'!$E$5:$N$193, MATCH($A95, 'NZS O&amp;G and CA100'!$B$5:$B$193, 0),MATCH(T$4, 'NZS O&amp;G and CA100'!$E$3:$N$3, 0)),"")</f>
        <v/>
      </c>
      <c r="U95" s="56" t="str">
        <f>IF(INDEX('NZS O&amp;G and CA100'!$D$5:$D$193, MATCH($A95, 'NZS O&amp;G and CA100'!$B$5:$B$193, 0)) = "Alignment", INDEX('NZS O&amp;G and CA100'!$E$5:$N$193, MATCH($A95, 'NZS O&amp;G and CA100'!$B$5:$B$193, 0),MATCH(U$4, 'NZS O&amp;G and CA100'!$E$3:$N$3, 0)),"")</f>
        <v/>
      </c>
      <c r="V95" s="56" t="str">
        <f>IF(INDEX('NZS O&amp;G and CA100'!$D$5:$D$193, MATCH($A95, 'NZS O&amp;G and CA100'!$B$5:$B$193, 0)) = "Alignment", INDEX('NZS O&amp;G and CA100'!$E$5:$N$193, MATCH($A95, 'NZS O&amp;G and CA100'!$B$5:$B$193, 0),MATCH(V$4, 'NZS O&amp;G and CA100'!$E$3:$N$3, 0)),"")</f>
        <v/>
      </c>
      <c r="W95" s="56" t="str">
        <f>IF(INDEX('NZS O&amp;G and CA100'!$D$5:$D$193, MATCH($A95, 'NZS O&amp;G and CA100'!$B$5:$B$193, 0)) = "Alignment", INDEX('NZS O&amp;G and CA100'!$E$5:$N$193, MATCH($A95, 'NZS O&amp;G and CA100'!$B$5:$B$193, 0),MATCH(L$3, 'NZS O&amp;G and CA100'!$E$3:$N$3, 0)),"")</f>
        <v/>
      </c>
      <c r="X95" s="57" t="str">
        <f>IF(INDEX('NZS O&amp;G and CA100'!$D$5:$D$193, MATCH($A95, 'NZS O&amp;G and CA100'!$B$5:$B$193, 0)) = "Alignment", INDEX('NZS O&amp;G and CA100'!$E$5:$N$193, MATCH($A95, 'NZS O&amp;G and CA100'!$B$5:$B$193, 0),MATCH(M$3, 'NZS O&amp;G and CA100'!$E$3:$N$3, 0)),"")</f>
        <v/>
      </c>
      <c r="Y95" s="1"/>
      <c r="Z95" s="55"/>
      <c r="AA95" s="56"/>
      <c r="AB95" s="56"/>
      <c r="AC95" s="56"/>
      <c r="AD95" s="56"/>
      <c r="AE95" s="56"/>
      <c r="AF95" s="56"/>
      <c r="AG95" s="56"/>
      <c r="AH95" s="56"/>
      <c r="AI95" s="57"/>
      <c r="AJ95" s="1"/>
      <c r="AK95" s="49"/>
      <c r="AL95" s="49"/>
      <c r="AM95" s="49"/>
      <c r="AN95" s="49"/>
      <c r="AO95" s="49"/>
    </row>
    <row r="96" spans="1:108" s="50" customFormat="1" ht="20.149999999999999" customHeight="1" outlineLevel="2">
      <c r="A96" s="302" t="s">
        <v>336</v>
      </c>
      <c r="B96" s="235" t="s">
        <v>150</v>
      </c>
      <c r="C96" s="236" t="str">
        <f>VLOOKUP(A96, 'NZS O&amp;G and CA100'!$B$7:$D$194, 3, FALSE)</f>
        <v>Disclosure</v>
      </c>
      <c r="D96" s="310">
        <f>IF(INDEX('NZS O&amp;G and CA100'!$D$5:$D$193, MATCH($A96, 'NZS O&amp;G and CA100'!$B$5:$B$193, 0)) =$B$4, INDEX('NZS O&amp;G and CA100'!$E$5:$N$193, MATCH($A96, 'NZS O&amp;G and CA100'!$B$5:$B$193, 0),MATCH(D$3, 'NZS O&amp;G and CA100'!$E$3:$N$3, 0)),"")</f>
        <v>1</v>
      </c>
      <c r="E96" s="311">
        <f>IF(INDEX('NZS O&amp;G and CA100'!$D$5:$D$193, MATCH($A96, 'NZS O&amp;G and CA100'!$B$5:$B$193, 0)) =$B$4, INDEX('NZS O&amp;G and CA100'!$E$5:$N$193, MATCH($A96, 'NZS O&amp;G and CA100'!$B$5:$B$193, 0),MATCH(E$3, 'NZS O&amp;G and CA100'!$E$3:$N$3, 0)),"")</f>
        <v>0</v>
      </c>
      <c r="F96" s="311">
        <f>IF(INDEX('NZS O&amp;G and CA100'!$D$5:$D$193, MATCH($A96, 'NZS O&amp;G and CA100'!$B$5:$B$193, 0)) =$B$4, INDEX('NZS O&amp;G and CA100'!$E$5:$N$193, MATCH($A96, 'NZS O&amp;G and CA100'!$B$5:$B$193, 0),MATCH(F$3, 'NZS O&amp;G and CA100'!$E$3:$N$3, 0)),"")</f>
        <v>1</v>
      </c>
      <c r="G96" s="311">
        <f>IF(INDEX('NZS O&amp;G and CA100'!$D$5:$D$193, MATCH($A96, 'NZS O&amp;G and CA100'!$B$5:$B$193, 0)) =$B$4, INDEX('NZS O&amp;G and CA100'!$E$5:$N$193, MATCH($A96, 'NZS O&amp;G and CA100'!$B$5:$B$193, 0),MATCH(G$3, 'NZS O&amp;G and CA100'!$E$3:$N$3, 0)),"")</f>
        <v>0</v>
      </c>
      <c r="H96" s="311">
        <f>IF(INDEX('NZS O&amp;G and CA100'!$D$5:$D$193, MATCH($A96, 'NZS O&amp;G and CA100'!$B$5:$B$193, 0)) =$B$4, INDEX('NZS O&amp;G and CA100'!$E$5:$N$193, MATCH($A96, 'NZS O&amp;G and CA100'!$B$5:$B$193, 0),MATCH(H$3, 'NZS O&amp;G and CA100'!$E$3:$N$3, 0)),"")</f>
        <v>0</v>
      </c>
      <c r="I96" s="311">
        <f>IF(INDEX('NZS O&amp;G and CA100'!$D$5:$D$193, MATCH($A96, 'NZS O&amp;G and CA100'!$B$5:$B$193, 0)) =$B$4, INDEX('NZS O&amp;G and CA100'!$E$5:$N$193, MATCH($A96, 'NZS O&amp;G and CA100'!$B$5:$B$193, 0),MATCH(I$3, 'NZS O&amp;G and CA100'!$E$3:$N$3, 0)),"")</f>
        <v>0</v>
      </c>
      <c r="J96" s="311">
        <f>IF(INDEX('NZS O&amp;G and CA100'!$D$5:$D$193, MATCH($A96, 'NZS O&amp;G and CA100'!$B$5:$B$193, 0)) =$B$4, INDEX('NZS O&amp;G and CA100'!$E$5:$N$193, MATCH($A96, 'NZS O&amp;G and CA100'!$B$5:$B$193, 0),MATCH(J$3, 'NZS O&amp;G and CA100'!$E$3:$N$3, 0)),"")</f>
        <v>0</v>
      </c>
      <c r="K96" s="311">
        <f>IF(INDEX('NZS O&amp;G and CA100'!$D$5:$D$193, MATCH($A96, 'NZS O&amp;G and CA100'!$B$5:$B$193, 0)) =$B$4, INDEX('NZS O&amp;G and CA100'!$E$5:$N$193, MATCH($A96, 'NZS O&amp;G and CA100'!$B$5:$B$193, 0),MATCH(K$3, 'NZS O&amp;G and CA100'!$E$3:$N$3, 0)),"")</f>
        <v>1</v>
      </c>
      <c r="L96" s="311">
        <f>IF(INDEX('NZS O&amp;G and CA100'!$D$5:$D$193, MATCH($A96, 'NZS O&amp;G and CA100'!$B$5:$B$193, 0)) =$B$4, INDEX('NZS O&amp;G and CA100'!$E$5:$N$193, MATCH($A96, 'NZS O&amp;G and CA100'!$B$5:$B$193, 0),MATCH(L$3, 'NZS O&amp;G and CA100'!$E$3:$N$3, 0)),"")</f>
        <v>0</v>
      </c>
      <c r="M96" s="312">
        <f>IF(INDEX('NZS O&amp;G and CA100'!$D$5:$D$193, MATCH($A96, 'NZS O&amp;G and CA100'!$B$5:$B$193, 0)) =$B$4, INDEX('NZS O&amp;G and CA100'!$E$5:$N$193, MATCH($A96, 'NZS O&amp;G and CA100'!$B$5:$B$193, 0),MATCH(M$3, 'NZS O&amp;G and CA100'!$E$3:$N$3, 0)),"")</f>
        <v>1</v>
      </c>
      <c r="N96" s="1"/>
      <c r="O96" s="55" t="str">
        <f>IF(INDEX('NZS O&amp;G and CA100'!$D$5:$D$193, MATCH($A96, 'NZS O&amp;G and CA100'!$B$5:$B$193, 0)) = "Alignment", INDEX('NZS O&amp;G and CA100'!$E$5:$N$193, MATCH($A96, 'NZS O&amp;G and CA100'!$B$5:$B$193, 0),MATCH(O$4, 'NZS O&amp;G and CA100'!$E$3:$N$3, 0)),"")</f>
        <v/>
      </c>
      <c r="P96" s="56" t="str">
        <f>IF(INDEX('NZS O&amp;G and CA100'!$D$5:$D$193, MATCH($A96, 'NZS O&amp;G and CA100'!$B$5:$B$193, 0)) = "Alignment", INDEX('NZS O&amp;G and CA100'!$E$5:$N$193, MATCH($A96, 'NZS O&amp;G and CA100'!$B$5:$B$193, 0),MATCH(P$4, 'NZS O&amp;G and CA100'!$E$3:$N$3, 0)),"")</f>
        <v/>
      </c>
      <c r="Q96" s="56" t="str">
        <f>IF(INDEX('NZS O&amp;G and CA100'!$D$5:$D$193, MATCH($A96, 'NZS O&amp;G and CA100'!$B$5:$B$193, 0)) = "Alignment", INDEX('NZS O&amp;G and CA100'!$E$5:$N$193, MATCH($A96, 'NZS O&amp;G and CA100'!$B$5:$B$193, 0),MATCH(Q$4, 'NZS O&amp;G and CA100'!$E$3:$N$3, 0)),"")</f>
        <v/>
      </c>
      <c r="R96" s="56" t="str">
        <f>IF(INDEX('NZS O&amp;G and CA100'!$D$5:$D$193, MATCH($A96, 'NZS O&amp;G and CA100'!$B$5:$B$193, 0)) = "Alignment", INDEX('NZS O&amp;G and CA100'!$E$5:$N$193, MATCH($A96, 'NZS O&amp;G and CA100'!$B$5:$B$193, 0),MATCH(R$4, 'NZS O&amp;G and CA100'!$E$3:$N$3, 0)),"")</f>
        <v/>
      </c>
      <c r="S96" s="56" t="str">
        <f>IF(INDEX('NZS O&amp;G and CA100'!$D$5:$D$193, MATCH($A96, 'NZS O&amp;G and CA100'!$B$5:$B$193, 0)) = "Alignment", INDEX('NZS O&amp;G and CA100'!$E$5:$N$193, MATCH($A96, 'NZS O&amp;G and CA100'!$B$5:$B$193, 0),MATCH(S$4, 'NZS O&amp;G and CA100'!$E$3:$N$3, 0)),"")</f>
        <v/>
      </c>
      <c r="T96" s="56" t="str">
        <f>IF(INDEX('NZS O&amp;G and CA100'!$D$5:$D$193, MATCH($A96, 'NZS O&amp;G and CA100'!$B$5:$B$193, 0)) = "Alignment", INDEX('NZS O&amp;G and CA100'!$E$5:$N$193, MATCH($A96, 'NZS O&amp;G and CA100'!$B$5:$B$193, 0),MATCH(T$4, 'NZS O&amp;G and CA100'!$E$3:$N$3, 0)),"")</f>
        <v/>
      </c>
      <c r="U96" s="56" t="str">
        <f>IF(INDEX('NZS O&amp;G and CA100'!$D$5:$D$193, MATCH($A96, 'NZS O&amp;G and CA100'!$B$5:$B$193, 0)) = "Alignment", INDEX('NZS O&amp;G and CA100'!$E$5:$N$193, MATCH($A96, 'NZS O&amp;G and CA100'!$B$5:$B$193, 0),MATCH(U$4, 'NZS O&amp;G and CA100'!$E$3:$N$3, 0)),"")</f>
        <v/>
      </c>
      <c r="V96" s="56" t="str">
        <f>IF(INDEX('NZS O&amp;G and CA100'!$D$5:$D$193, MATCH($A96, 'NZS O&amp;G and CA100'!$B$5:$B$193, 0)) = "Alignment", INDEX('NZS O&amp;G and CA100'!$E$5:$N$193, MATCH($A96, 'NZS O&amp;G and CA100'!$B$5:$B$193, 0),MATCH(V$4, 'NZS O&amp;G and CA100'!$E$3:$N$3, 0)),"")</f>
        <v/>
      </c>
      <c r="W96" s="56" t="str">
        <f>IF(INDEX('NZS O&amp;G and CA100'!$D$5:$D$193, MATCH($A96, 'NZS O&amp;G and CA100'!$B$5:$B$193, 0)) = "Alignment", INDEX('NZS O&amp;G and CA100'!$E$5:$N$193, MATCH($A96, 'NZS O&amp;G and CA100'!$B$5:$B$193, 0),MATCH(L$3, 'NZS O&amp;G and CA100'!$E$3:$N$3, 0)),"")</f>
        <v/>
      </c>
      <c r="X96" s="57" t="str">
        <f>IF(INDEX('NZS O&amp;G and CA100'!$D$5:$D$193, MATCH($A96, 'NZS O&amp;G and CA100'!$B$5:$B$193, 0)) = "Alignment", INDEX('NZS O&amp;G and CA100'!$E$5:$N$193, MATCH($A96, 'NZS O&amp;G and CA100'!$B$5:$B$193, 0),MATCH(M$3, 'NZS O&amp;G and CA100'!$E$3:$N$3, 0)),"")</f>
        <v/>
      </c>
      <c r="Y96" s="1"/>
      <c r="Z96" s="55"/>
      <c r="AA96" s="56"/>
      <c r="AB96" s="56"/>
      <c r="AC96" s="56"/>
      <c r="AD96" s="56"/>
      <c r="AE96" s="56"/>
      <c r="AF96" s="56"/>
      <c r="AG96" s="56"/>
      <c r="AH96" s="56"/>
      <c r="AI96" s="57"/>
      <c r="AJ96" s="1"/>
      <c r="AK96" s="49"/>
      <c r="AL96" s="49"/>
      <c r="AM96" s="49"/>
      <c r="AN96" s="49"/>
      <c r="AO96" s="49"/>
    </row>
    <row r="97" spans="1:108" s="50" customFormat="1" ht="20.149999999999999" customHeight="1" outlineLevel="2">
      <c r="A97" s="302" t="s">
        <v>337</v>
      </c>
      <c r="B97" s="235" t="s">
        <v>151</v>
      </c>
      <c r="C97" s="236" t="str">
        <f>VLOOKUP(A97, 'NZS O&amp;G and CA100'!$B$7:$D$194, 3, FALSE)</f>
        <v>Disclosure</v>
      </c>
      <c r="D97" s="310" t="str">
        <f>IF(INDEX('NZS O&amp;G and CA100'!$D$5:$D$193, MATCH($A97, 'NZS O&amp;G and CA100'!$B$5:$B$193, 0)) =$B$4, INDEX('NZS O&amp;G and CA100'!$E$5:$N$193, MATCH($A97, 'NZS O&amp;G and CA100'!$B$5:$B$193, 0),MATCH(D$3, 'NZS O&amp;G and CA100'!$E$3:$N$3, 0)),"")</f>
        <v>Not Applicable</v>
      </c>
      <c r="E97" s="311">
        <f>IF(INDEX('NZS O&amp;G and CA100'!$D$5:$D$193, MATCH($A97, 'NZS O&amp;G and CA100'!$B$5:$B$193, 0)) =$B$4, INDEX('NZS O&amp;G and CA100'!$E$5:$N$193, MATCH($A97, 'NZS O&amp;G and CA100'!$B$5:$B$193, 0),MATCH(E$3, 'NZS O&amp;G and CA100'!$E$3:$N$3, 0)),"")</f>
        <v>1</v>
      </c>
      <c r="F97" s="311" t="str">
        <f>IF(INDEX('NZS O&amp;G and CA100'!$D$5:$D$193, MATCH($A97, 'NZS O&amp;G and CA100'!$B$5:$B$193, 0)) =$B$4, INDEX('NZS O&amp;G and CA100'!$E$5:$N$193, MATCH($A97, 'NZS O&amp;G and CA100'!$B$5:$B$193, 0),MATCH(F$3, 'NZS O&amp;G and CA100'!$E$3:$N$3, 0)),"")</f>
        <v>Not Applicable</v>
      </c>
      <c r="G97" s="311">
        <f>IF(INDEX('NZS O&amp;G and CA100'!$D$5:$D$193, MATCH($A97, 'NZS O&amp;G and CA100'!$B$5:$B$193, 0)) =$B$4, INDEX('NZS O&amp;G and CA100'!$E$5:$N$193, MATCH($A97, 'NZS O&amp;G and CA100'!$B$5:$B$193, 0),MATCH(G$3, 'NZS O&amp;G and CA100'!$E$3:$N$3, 0)),"")</f>
        <v>0</v>
      </c>
      <c r="H97" s="311">
        <f>IF(INDEX('NZS O&amp;G and CA100'!$D$5:$D$193, MATCH($A97, 'NZS O&amp;G and CA100'!$B$5:$B$193, 0)) =$B$4, INDEX('NZS O&amp;G and CA100'!$E$5:$N$193, MATCH($A97, 'NZS O&amp;G and CA100'!$B$5:$B$193, 0),MATCH(H$3, 'NZS O&amp;G and CA100'!$E$3:$N$3, 0)),"")</f>
        <v>0</v>
      </c>
      <c r="I97" s="311">
        <f>IF(INDEX('NZS O&amp;G and CA100'!$D$5:$D$193, MATCH($A97, 'NZS O&amp;G and CA100'!$B$5:$B$193, 0)) =$B$4, INDEX('NZS O&amp;G and CA100'!$E$5:$N$193, MATCH($A97, 'NZS O&amp;G and CA100'!$B$5:$B$193, 0),MATCH(I$3, 'NZS O&amp;G and CA100'!$E$3:$N$3, 0)),"")</f>
        <v>0</v>
      </c>
      <c r="J97" s="311">
        <f>IF(INDEX('NZS O&amp;G and CA100'!$D$5:$D$193, MATCH($A97, 'NZS O&amp;G and CA100'!$B$5:$B$193, 0)) =$B$4, INDEX('NZS O&amp;G and CA100'!$E$5:$N$193, MATCH($A97, 'NZS O&amp;G and CA100'!$B$5:$B$193, 0),MATCH(J$3, 'NZS O&amp;G and CA100'!$E$3:$N$3, 0)),"")</f>
        <v>1</v>
      </c>
      <c r="K97" s="311" t="str">
        <f>IF(INDEX('NZS O&amp;G and CA100'!$D$5:$D$193, MATCH($A97, 'NZS O&amp;G and CA100'!$B$5:$B$193, 0)) =$B$4, INDEX('NZS O&amp;G and CA100'!$E$5:$N$193, MATCH($A97, 'NZS O&amp;G and CA100'!$B$5:$B$193, 0),MATCH(K$3, 'NZS O&amp;G and CA100'!$E$3:$N$3, 0)),"")</f>
        <v>Not Applicable</v>
      </c>
      <c r="L97" s="311">
        <f>IF(INDEX('NZS O&amp;G and CA100'!$D$5:$D$193, MATCH($A97, 'NZS O&amp;G and CA100'!$B$5:$B$193, 0)) =$B$4, INDEX('NZS O&amp;G and CA100'!$E$5:$N$193, MATCH($A97, 'NZS O&amp;G and CA100'!$B$5:$B$193, 0),MATCH(L$3, 'NZS O&amp;G and CA100'!$E$3:$N$3, 0)),"")</f>
        <v>0</v>
      </c>
      <c r="M97" s="312" t="str">
        <f>IF(INDEX('NZS O&amp;G and CA100'!$D$5:$D$193, MATCH($A97, 'NZS O&amp;G and CA100'!$B$5:$B$193, 0)) =$B$4, INDEX('NZS O&amp;G and CA100'!$E$5:$N$193, MATCH($A97, 'NZS O&amp;G and CA100'!$B$5:$B$193, 0),MATCH(M$3, 'NZS O&amp;G and CA100'!$E$3:$N$3, 0)),"")</f>
        <v>Not Applicable</v>
      </c>
      <c r="N97" s="1"/>
      <c r="O97" s="55" t="str">
        <f>IF(INDEX('NZS O&amp;G and CA100'!$D$5:$D$193, MATCH($A97, 'NZS O&amp;G and CA100'!$B$5:$B$193, 0)) = "Alignment", INDEX('NZS O&amp;G and CA100'!$E$5:$N$193, MATCH($A97, 'NZS O&amp;G and CA100'!$B$5:$B$193, 0),MATCH(O$4, 'NZS O&amp;G and CA100'!$E$3:$N$3, 0)),"")</f>
        <v/>
      </c>
      <c r="P97" s="56" t="str">
        <f>IF(INDEX('NZS O&amp;G and CA100'!$D$5:$D$193, MATCH($A97, 'NZS O&amp;G and CA100'!$B$5:$B$193, 0)) = "Alignment", INDEX('NZS O&amp;G and CA100'!$E$5:$N$193, MATCH($A97, 'NZS O&amp;G and CA100'!$B$5:$B$193, 0),MATCH(P$4, 'NZS O&amp;G and CA100'!$E$3:$N$3, 0)),"")</f>
        <v/>
      </c>
      <c r="Q97" s="56" t="str">
        <f>IF(INDEX('NZS O&amp;G and CA100'!$D$5:$D$193, MATCH($A97, 'NZS O&amp;G and CA100'!$B$5:$B$193, 0)) = "Alignment", INDEX('NZS O&amp;G and CA100'!$E$5:$N$193, MATCH($A97, 'NZS O&amp;G and CA100'!$B$5:$B$193, 0),MATCH(Q$4, 'NZS O&amp;G and CA100'!$E$3:$N$3, 0)),"")</f>
        <v/>
      </c>
      <c r="R97" s="56" t="str">
        <f>IF(INDEX('NZS O&amp;G and CA100'!$D$5:$D$193, MATCH($A97, 'NZS O&amp;G and CA100'!$B$5:$B$193, 0)) = "Alignment", INDEX('NZS O&amp;G and CA100'!$E$5:$N$193, MATCH($A97, 'NZS O&amp;G and CA100'!$B$5:$B$193, 0),MATCH(R$4, 'NZS O&amp;G and CA100'!$E$3:$N$3, 0)),"")</f>
        <v/>
      </c>
      <c r="S97" s="56" t="str">
        <f>IF(INDEX('NZS O&amp;G and CA100'!$D$5:$D$193, MATCH($A97, 'NZS O&amp;G and CA100'!$B$5:$B$193, 0)) = "Alignment", INDEX('NZS O&amp;G and CA100'!$E$5:$N$193, MATCH($A97, 'NZS O&amp;G and CA100'!$B$5:$B$193, 0),MATCH(S$4, 'NZS O&amp;G and CA100'!$E$3:$N$3, 0)),"")</f>
        <v/>
      </c>
      <c r="T97" s="56" t="str">
        <f>IF(INDEX('NZS O&amp;G and CA100'!$D$5:$D$193, MATCH($A97, 'NZS O&amp;G and CA100'!$B$5:$B$193, 0)) = "Alignment", INDEX('NZS O&amp;G and CA100'!$E$5:$N$193, MATCH($A97, 'NZS O&amp;G and CA100'!$B$5:$B$193, 0),MATCH(T$4, 'NZS O&amp;G and CA100'!$E$3:$N$3, 0)),"")</f>
        <v/>
      </c>
      <c r="U97" s="56" t="str">
        <f>IF(INDEX('NZS O&amp;G and CA100'!$D$5:$D$193, MATCH($A97, 'NZS O&amp;G and CA100'!$B$5:$B$193, 0)) = "Alignment", INDEX('NZS O&amp;G and CA100'!$E$5:$N$193, MATCH($A97, 'NZS O&amp;G and CA100'!$B$5:$B$193, 0),MATCH(U$4, 'NZS O&amp;G and CA100'!$E$3:$N$3, 0)),"")</f>
        <v/>
      </c>
      <c r="V97" s="56" t="str">
        <f>IF(INDEX('NZS O&amp;G and CA100'!$D$5:$D$193, MATCH($A97, 'NZS O&amp;G and CA100'!$B$5:$B$193, 0)) = "Alignment", INDEX('NZS O&amp;G and CA100'!$E$5:$N$193, MATCH($A97, 'NZS O&amp;G and CA100'!$B$5:$B$193, 0),MATCH(V$4, 'NZS O&amp;G and CA100'!$E$3:$N$3, 0)),"")</f>
        <v/>
      </c>
      <c r="W97" s="56" t="str">
        <f>IF(INDEX('NZS O&amp;G and CA100'!$D$5:$D$193, MATCH($A97, 'NZS O&amp;G and CA100'!$B$5:$B$193, 0)) = "Alignment", INDEX('NZS O&amp;G and CA100'!$E$5:$N$193, MATCH($A97, 'NZS O&amp;G and CA100'!$B$5:$B$193, 0),MATCH(L$3, 'NZS O&amp;G and CA100'!$E$3:$N$3, 0)),"")</f>
        <v/>
      </c>
      <c r="X97" s="57" t="str">
        <f>IF(INDEX('NZS O&amp;G and CA100'!$D$5:$D$193, MATCH($A97, 'NZS O&amp;G and CA100'!$B$5:$B$193, 0)) = "Alignment", INDEX('NZS O&amp;G and CA100'!$E$5:$N$193, MATCH($A97, 'NZS O&amp;G and CA100'!$B$5:$B$193, 0),MATCH(M$3, 'NZS O&amp;G and CA100'!$E$3:$N$3, 0)),"")</f>
        <v/>
      </c>
      <c r="Y97" s="1"/>
      <c r="Z97" s="55"/>
      <c r="AA97" s="56"/>
      <c r="AB97" s="56"/>
      <c r="AC97" s="56"/>
      <c r="AD97" s="56"/>
      <c r="AE97" s="56"/>
      <c r="AF97" s="56"/>
      <c r="AG97" s="56"/>
      <c r="AH97" s="56"/>
      <c r="AI97" s="57"/>
      <c r="AJ97" s="1"/>
      <c r="AK97" s="49"/>
      <c r="AL97" s="49"/>
      <c r="AM97" s="49"/>
      <c r="AN97" s="49"/>
      <c r="AO97" s="49"/>
    </row>
    <row r="98" spans="1:108" s="50" customFormat="1" ht="20.149999999999999" customHeight="1" outlineLevel="2">
      <c r="A98" s="302" t="s">
        <v>338</v>
      </c>
      <c r="B98" s="235" t="s">
        <v>152</v>
      </c>
      <c r="C98" s="236" t="str">
        <f>VLOOKUP(A98, 'NZS O&amp;G and CA100'!$B$7:$D$194, 3, FALSE)</f>
        <v>Alignment</v>
      </c>
      <c r="D98" s="310" t="str">
        <f>IF(INDEX('NZS O&amp;G and CA100'!$D$5:$D$193, MATCH($A98, 'NZS O&amp;G and CA100'!$B$5:$B$193, 0)) =$B$4, INDEX('NZS O&amp;G and CA100'!$E$5:$N$193, MATCH($A98, 'NZS O&amp;G and CA100'!$B$5:$B$193, 0),MATCH(D$3, 'NZS O&amp;G and CA100'!$E$3:$N$3, 0)),"")</f>
        <v/>
      </c>
      <c r="E98" s="311" t="str">
        <f>IF(INDEX('NZS O&amp;G and CA100'!$D$5:$D$193, MATCH($A98, 'NZS O&amp;G and CA100'!$B$5:$B$193, 0)) =$B$4, INDEX('NZS O&amp;G and CA100'!$E$5:$N$193, MATCH($A98, 'NZS O&amp;G and CA100'!$B$5:$B$193, 0),MATCH(E$3, 'NZS O&amp;G and CA100'!$E$3:$N$3, 0)),"")</f>
        <v/>
      </c>
      <c r="F98" s="311" t="str">
        <f>IF(INDEX('NZS O&amp;G and CA100'!$D$5:$D$193, MATCH($A98, 'NZS O&amp;G and CA100'!$B$5:$B$193, 0)) =$B$4, INDEX('NZS O&amp;G and CA100'!$E$5:$N$193, MATCH($A98, 'NZS O&amp;G and CA100'!$B$5:$B$193, 0),MATCH(F$3, 'NZS O&amp;G and CA100'!$E$3:$N$3, 0)),"")</f>
        <v/>
      </c>
      <c r="G98" s="311" t="str">
        <f>IF(INDEX('NZS O&amp;G and CA100'!$D$5:$D$193, MATCH($A98, 'NZS O&amp;G and CA100'!$B$5:$B$193, 0)) =$B$4, INDEX('NZS O&amp;G and CA100'!$E$5:$N$193, MATCH($A98, 'NZS O&amp;G and CA100'!$B$5:$B$193, 0),MATCH(G$3, 'NZS O&amp;G and CA100'!$E$3:$N$3, 0)),"")</f>
        <v/>
      </c>
      <c r="H98" s="311" t="str">
        <f>IF(INDEX('NZS O&amp;G and CA100'!$D$5:$D$193, MATCH($A98, 'NZS O&amp;G and CA100'!$B$5:$B$193, 0)) =$B$4, INDEX('NZS O&amp;G and CA100'!$E$5:$N$193, MATCH($A98, 'NZS O&amp;G and CA100'!$B$5:$B$193, 0),MATCH(H$3, 'NZS O&amp;G and CA100'!$E$3:$N$3, 0)),"")</f>
        <v/>
      </c>
      <c r="I98" s="311" t="str">
        <f>IF(INDEX('NZS O&amp;G and CA100'!$D$5:$D$193, MATCH($A98, 'NZS O&amp;G and CA100'!$B$5:$B$193, 0)) =$B$4, INDEX('NZS O&amp;G and CA100'!$E$5:$N$193, MATCH($A98, 'NZS O&amp;G and CA100'!$B$5:$B$193, 0),MATCH(I$3, 'NZS O&amp;G and CA100'!$E$3:$N$3, 0)),"")</f>
        <v/>
      </c>
      <c r="J98" s="311" t="str">
        <f>IF(INDEX('NZS O&amp;G and CA100'!$D$5:$D$193, MATCH($A98, 'NZS O&amp;G and CA100'!$B$5:$B$193, 0)) =$B$4, INDEX('NZS O&amp;G and CA100'!$E$5:$N$193, MATCH($A98, 'NZS O&amp;G and CA100'!$B$5:$B$193, 0),MATCH(J$3, 'NZS O&amp;G and CA100'!$E$3:$N$3, 0)),"")</f>
        <v/>
      </c>
      <c r="K98" s="311" t="str">
        <f>IF(INDEX('NZS O&amp;G and CA100'!$D$5:$D$193, MATCH($A98, 'NZS O&amp;G and CA100'!$B$5:$B$193, 0)) =$B$4, INDEX('NZS O&amp;G and CA100'!$E$5:$N$193, MATCH($A98, 'NZS O&amp;G and CA100'!$B$5:$B$193, 0),MATCH(K$3, 'NZS O&amp;G and CA100'!$E$3:$N$3, 0)),"")</f>
        <v/>
      </c>
      <c r="L98" s="311" t="str">
        <f>IF(INDEX('NZS O&amp;G and CA100'!$D$5:$D$193, MATCH($A98, 'NZS O&amp;G and CA100'!$B$5:$B$193, 0)) =$B$4, INDEX('NZS O&amp;G and CA100'!$E$5:$N$193, MATCH($A98, 'NZS O&amp;G and CA100'!$B$5:$B$193, 0),MATCH(L$3, 'NZS O&amp;G and CA100'!$E$3:$N$3, 0)),"")</f>
        <v/>
      </c>
      <c r="M98" s="312" t="str">
        <f>IF(INDEX('NZS O&amp;G and CA100'!$D$5:$D$193, MATCH($A98, 'NZS O&amp;G and CA100'!$B$5:$B$193, 0)) =$B$4, INDEX('NZS O&amp;G and CA100'!$E$5:$N$193, MATCH($A98, 'NZS O&amp;G and CA100'!$B$5:$B$193, 0),MATCH(M$3, 'NZS O&amp;G and CA100'!$E$3:$N$3, 0)),"")</f>
        <v/>
      </c>
      <c r="N98" s="1"/>
      <c r="O98" s="55">
        <f>IF(INDEX('NZS O&amp;G and CA100'!$D$5:$D$193, MATCH($A98, 'NZS O&amp;G and CA100'!$B$5:$B$193, 0)) = "Alignment", INDEX('NZS O&amp;G and CA100'!$E$5:$N$193, MATCH($A98, 'NZS O&amp;G and CA100'!$B$5:$B$193, 0),MATCH(O$4, 'NZS O&amp;G and CA100'!$E$3:$N$3, 0)),"")</f>
        <v>0</v>
      </c>
      <c r="P98" s="56">
        <f>IF(INDEX('NZS O&amp;G and CA100'!$D$5:$D$193, MATCH($A98, 'NZS O&amp;G and CA100'!$B$5:$B$193, 0)) = "Alignment", INDEX('NZS O&amp;G and CA100'!$E$5:$N$193, MATCH($A98, 'NZS O&amp;G and CA100'!$B$5:$B$193, 0),MATCH(P$4, 'NZS O&amp;G and CA100'!$E$3:$N$3, 0)),"")</f>
        <v>0</v>
      </c>
      <c r="Q98" s="56">
        <f>IF(INDEX('NZS O&amp;G and CA100'!$D$5:$D$193, MATCH($A98, 'NZS O&amp;G and CA100'!$B$5:$B$193, 0)) = "Alignment", INDEX('NZS O&amp;G and CA100'!$E$5:$N$193, MATCH($A98, 'NZS O&amp;G and CA100'!$B$5:$B$193, 0),MATCH(Q$4, 'NZS O&amp;G and CA100'!$E$3:$N$3, 0)),"")</f>
        <v>0</v>
      </c>
      <c r="R98" s="56">
        <f>IF(INDEX('NZS O&amp;G and CA100'!$D$5:$D$193, MATCH($A98, 'NZS O&amp;G and CA100'!$B$5:$B$193, 0)) = "Alignment", INDEX('NZS O&amp;G and CA100'!$E$5:$N$193, MATCH($A98, 'NZS O&amp;G and CA100'!$B$5:$B$193, 0),MATCH(R$4, 'NZS O&amp;G and CA100'!$E$3:$N$3, 0)),"")</f>
        <v>0</v>
      </c>
      <c r="S98" s="56">
        <f>IF(INDEX('NZS O&amp;G and CA100'!$D$5:$D$193, MATCH($A98, 'NZS O&amp;G and CA100'!$B$5:$B$193, 0)) = "Alignment", INDEX('NZS O&amp;G and CA100'!$E$5:$N$193, MATCH($A98, 'NZS O&amp;G and CA100'!$B$5:$B$193, 0),MATCH(S$4, 'NZS O&amp;G and CA100'!$E$3:$N$3, 0)),"")</f>
        <v>0</v>
      </c>
      <c r="T98" s="56">
        <f>IF(INDEX('NZS O&amp;G and CA100'!$D$5:$D$193, MATCH($A98, 'NZS O&amp;G and CA100'!$B$5:$B$193, 0)) = "Alignment", INDEX('NZS O&amp;G and CA100'!$E$5:$N$193, MATCH($A98, 'NZS O&amp;G and CA100'!$B$5:$B$193, 0),MATCH(T$4, 'NZS O&amp;G and CA100'!$E$3:$N$3, 0)),"")</f>
        <v>0</v>
      </c>
      <c r="U98" s="56">
        <f>IF(INDEX('NZS O&amp;G and CA100'!$D$5:$D$193, MATCH($A98, 'NZS O&amp;G and CA100'!$B$5:$B$193, 0)) = "Alignment", INDEX('NZS O&amp;G and CA100'!$E$5:$N$193, MATCH($A98, 'NZS O&amp;G and CA100'!$B$5:$B$193, 0),MATCH(U$4, 'NZS O&amp;G and CA100'!$E$3:$N$3, 0)),"")</f>
        <v>0</v>
      </c>
      <c r="V98" s="56">
        <f>IF(INDEX('NZS O&amp;G and CA100'!$D$5:$D$193, MATCH($A98, 'NZS O&amp;G and CA100'!$B$5:$B$193, 0)) = "Alignment", INDEX('NZS O&amp;G and CA100'!$E$5:$N$193, MATCH($A98, 'NZS O&amp;G and CA100'!$B$5:$B$193, 0),MATCH(V$4, 'NZS O&amp;G and CA100'!$E$3:$N$3, 0)),"")</f>
        <v>0</v>
      </c>
      <c r="W98" s="56">
        <f>IF(INDEX('NZS O&amp;G and CA100'!$D$5:$D$193, MATCH($A98, 'NZS O&amp;G and CA100'!$B$5:$B$193, 0)) = "Alignment", INDEX('NZS O&amp;G and CA100'!$E$5:$N$193, MATCH($A98, 'NZS O&amp;G and CA100'!$B$5:$B$193, 0),MATCH(L$3, 'NZS O&amp;G and CA100'!$E$3:$N$3, 0)),"")</f>
        <v>0</v>
      </c>
      <c r="X98" s="57">
        <f>IF(INDEX('NZS O&amp;G and CA100'!$D$5:$D$193, MATCH($A98, 'NZS O&amp;G and CA100'!$B$5:$B$193, 0)) = "Alignment", INDEX('NZS O&amp;G and CA100'!$E$5:$N$193, MATCH($A98, 'NZS O&amp;G and CA100'!$B$5:$B$193, 0),MATCH(M$3, 'NZS O&amp;G and CA100'!$E$3:$N$3, 0)),"")</f>
        <v>1</v>
      </c>
      <c r="Y98" s="1"/>
      <c r="Z98" s="55"/>
      <c r="AA98" s="56"/>
      <c r="AB98" s="56"/>
      <c r="AC98" s="56"/>
      <c r="AD98" s="56"/>
      <c r="AE98" s="56"/>
      <c r="AF98" s="56"/>
      <c r="AG98" s="56"/>
      <c r="AH98" s="56"/>
      <c r="AI98" s="57"/>
      <c r="AJ98" s="1"/>
      <c r="AK98" s="49"/>
      <c r="AL98" s="49"/>
      <c r="AM98" s="49"/>
      <c r="AN98" s="49"/>
      <c r="AO98" s="49"/>
    </row>
    <row r="99" spans="1:108" s="50" customFormat="1" ht="20.149999999999999" customHeight="1" outlineLevel="2">
      <c r="A99" s="302" t="s">
        <v>339</v>
      </c>
      <c r="B99" s="235" t="s">
        <v>153</v>
      </c>
      <c r="C99" s="236" t="str">
        <f>VLOOKUP(A99, 'NZS O&amp;G and CA100'!$B$7:$D$194, 3, FALSE)</f>
        <v>Alignment</v>
      </c>
      <c r="D99" s="310" t="str">
        <f>IF(INDEX('NZS O&amp;G and CA100'!$D$5:$D$193, MATCH($A99, 'NZS O&amp;G and CA100'!$B$5:$B$193, 0)) =$B$4, INDEX('NZS O&amp;G and CA100'!$E$5:$N$193, MATCH($A99, 'NZS O&amp;G and CA100'!$B$5:$B$193, 0),MATCH(D$3, 'NZS O&amp;G and CA100'!$E$3:$N$3, 0)),"")</f>
        <v/>
      </c>
      <c r="E99" s="311" t="str">
        <f>IF(INDEX('NZS O&amp;G and CA100'!$D$5:$D$193, MATCH($A99, 'NZS O&amp;G and CA100'!$B$5:$B$193, 0)) =$B$4, INDEX('NZS O&amp;G and CA100'!$E$5:$N$193, MATCH($A99, 'NZS O&amp;G and CA100'!$B$5:$B$193, 0),MATCH(E$3, 'NZS O&amp;G and CA100'!$E$3:$N$3, 0)),"")</f>
        <v/>
      </c>
      <c r="F99" s="311" t="str">
        <f>IF(INDEX('NZS O&amp;G and CA100'!$D$5:$D$193, MATCH($A99, 'NZS O&amp;G and CA100'!$B$5:$B$193, 0)) =$B$4, INDEX('NZS O&amp;G and CA100'!$E$5:$N$193, MATCH($A99, 'NZS O&amp;G and CA100'!$B$5:$B$193, 0),MATCH(F$3, 'NZS O&amp;G and CA100'!$E$3:$N$3, 0)),"")</f>
        <v/>
      </c>
      <c r="G99" s="311" t="str">
        <f>IF(INDEX('NZS O&amp;G and CA100'!$D$5:$D$193, MATCH($A99, 'NZS O&amp;G and CA100'!$B$5:$B$193, 0)) =$B$4, INDEX('NZS O&amp;G and CA100'!$E$5:$N$193, MATCH($A99, 'NZS O&amp;G and CA100'!$B$5:$B$193, 0),MATCH(G$3, 'NZS O&amp;G and CA100'!$E$3:$N$3, 0)),"")</f>
        <v/>
      </c>
      <c r="H99" s="311" t="str">
        <f>IF(INDEX('NZS O&amp;G and CA100'!$D$5:$D$193, MATCH($A99, 'NZS O&amp;G and CA100'!$B$5:$B$193, 0)) =$B$4, INDEX('NZS O&amp;G and CA100'!$E$5:$N$193, MATCH($A99, 'NZS O&amp;G and CA100'!$B$5:$B$193, 0),MATCH(H$3, 'NZS O&amp;G and CA100'!$E$3:$N$3, 0)),"")</f>
        <v/>
      </c>
      <c r="I99" s="311" t="str">
        <f>IF(INDEX('NZS O&amp;G and CA100'!$D$5:$D$193, MATCH($A99, 'NZS O&amp;G and CA100'!$B$5:$B$193, 0)) =$B$4, INDEX('NZS O&amp;G and CA100'!$E$5:$N$193, MATCH($A99, 'NZS O&amp;G and CA100'!$B$5:$B$193, 0),MATCH(I$3, 'NZS O&amp;G and CA100'!$E$3:$N$3, 0)),"")</f>
        <v/>
      </c>
      <c r="J99" s="311" t="str">
        <f>IF(INDEX('NZS O&amp;G and CA100'!$D$5:$D$193, MATCH($A99, 'NZS O&amp;G and CA100'!$B$5:$B$193, 0)) =$B$4, INDEX('NZS O&amp;G and CA100'!$E$5:$N$193, MATCH($A99, 'NZS O&amp;G and CA100'!$B$5:$B$193, 0),MATCH(J$3, 'NZS O&amp;G and CA100'!$E$3:$N$3, 0)),"")</f>
        <v/>
      </c>
      <c r="K99" s="311" t="str">
        <f>IF(INDEX('NZS O&amp;G and CA100'!$D$5:$D$193, MATCH($A99, 'NZS O&amp;G and CA100'!$B$5:$B$193, 0)) =$B$4, INDEX('NZS O&amp;G and CA100'!$E$5:$N$193, MATCH($A99, 'NZS O&amp;G and CA100'!$B$5:$B$193, 0),MATCH(K$3, 'NZS O&amp;G and CA100'!$E$3:$N$3, 0)),"")</f>
        <v/>
      </c>
      <c r="L99" s="311" t="str">
        <f>IF(INDEX('NZS O&amp;G and CA100'!$D$5:$D$193, MATCH($A99, 'NZS O&amp;G and CA100'!$B$5:$B$193, 0)) =$B$4, INDEX('NZS O&amp;G and CA100'!$E$5:$N$193, MATCH($A99, 'NZS O&amp;G and CA100'!$B$5:$B$193, 0),MATCH(L$3, 'NZS O&amp;G and CA100'!$E$3:$N$3, 0)),"")</f>
        <v/>
      </c>
      <c r="M99" s="312" t="str">
        <f>IF(INDEX('NZS O&amp;G and CA100'!$D$5:$D$193, MATCH($A99, 'NZS O&amp;G and CA100'!$B$5:$B$193, 0)) =$B$4, INDEX('NZS O&amp;G and CA100'!$E$5:$N$193, MATCH($A99, 'NZS O&amp;G and CA100'!$B$5:$B$193, 0),MATCH(M$3, 'NZS O&amp;G and CA100'!$E$3:$N$3, 0)),"")</f>
        <v/>
      </c>
      <c r="N99" s="1"/>
      <c r="O99" s="55">
        <f>IF(INDEX('NZS O&amp;G and CA100'!$D$5:$D$193, MATCH($A99, 'NZS O&amp;G and CA100'!$B$5:$B$193, 0)) = "Alignment", INDEX('NZS O&amp;G and CA100'!$E$5:$N$193, MATCH($A99, 'NZS O&amp;G and CA100'!$B$5:$B$193, 0),MATCH(O$4, 'NZS O&amp;G and CA100'!$E$3:$N$3, 0)),"")</f>
        <v>0</v>
      </c>
      <c r="P99" s="56">
        <f>IF(INDEX('NZS O&amp;G and CA100'!$D$5:$D$193, MATCH($A99, 'NZS O&amp;G and CA100'!$B$5:$B$193, 0)) = "Alignment", INDEX('NZS O&amp;G and CA100'!$E$5:$N$193, MATCH($A99, 'NZS O&amp;G and CA100'!$B$5:$B$193, 0),MATCH(P$4, 'NZS O&amp;G and CA100'!$E$3:$N$3, 0)),"")</f>
        <v>0</v>
      </c>
      <c r="Q99" s="56">
        <f>IF(INDEX('NZS O&amp;G and CA100'!$D$5:$D$193, MATCH($A99, 'NZS O&amp;G and CA100'!$B$5:$B$193, 0)) = "Alignment", INDEX('NZS O&amp;G and CA100'!$E$5:$N$193, MATCH($A99, 'NZS O&amp;G and CA100'!$B$5:$B$193, 0),MATCH(Q$4, 'NZS O&amp;G and CA100'!$E$3:$N$3, 0)),"")</f>
        <v>0</v>
      </c>
      <c r="R99" s="56">
        <f>IF(INDEX('NZS O&amp;G and CA100'!$D$5:$D$193, MATCH($A99, 'NZS O&amp;G and CA100'!$B$5:$B$193, 0)) = "Alignment", INDEX('NZS O&amp;G and CA100'!$E$5:$N$193, MATCH($A99, 'NZS O&amp;G and CA100'!$B$5:$B$193, 0),MATCH(R$4, 'NZS O&amp;G and CA100'!$E$3:$N$3, 0)),"")</f>
        <v>0</v>
      </c>
      <c r="S99" s="56">
        <f>IF(INDEX('NZS O&amp;G and CA100'!$D$5:$D$193, MATCH($A99, 'NZS O&amp;G and CA100'!$B$5:$B$193, 0)) = "Alignment", INDEX('NZS O&amp;G and CA100'!$E$5:$N$193, MATCH($A99, 'NZS O&amp;G and CA100'!$B$5:$B$193, 0),MATCH(S$4, 'NZS O&amp;G and CA100'!$E$3:$N$3, 0)),"")</f>
        <v>0</v>
      </c>
      <c r="T99" s="56">
        <f>IF(INDEX('NZS O&amp;G and CA100'!$D$5:$D$193, MATCH($A99, 'NZS O&amp;G and CA100'!$B$5:$B$193, 0)) = "Alignment", INDEX('NZS O&amp;G and CA100'!$E$5:$N$193, MATCH($A99, 'NZS O&amp;G and CA100'!$B$5:$B$193, 0),MATCH(T$4, 'NZS O&amp;G and CA100'!$E$3:$N$3, 0)),"")</f>
        <v>0</v>
      </c>
      <c r="U99" s="56">
        <f>IF(INDEX('NZS O&amp;G and CA100'!$D$5:$D$193, MATCH($A99, 'NZS O&amp;G and CA100'!$B$5:$B$193, 0)) = "Alignment", INDEX('NZS O&amp;G and CA100'!$E$5:$N$193, MATCH($A99, 'NZS O&amp;G and CA100'!$B$5:$B$193, 0),MATCH(U$4, 'NZS O&amp;G and CA100'!$E$3:$N$3, 0)),"")</f>
        <v>0</v>
      </c>
      <c r="V99" s="56">
        <f>IF(INDEX('NZS O&amp;G and CA100'!$D$5:$D$193, MATCH($A99, 'NZS O&amp;G and CA100'!$B$5:$B$193, 0)) = "Alignment", INDEX('NZS O&amp;G and CA100'!$E$5:$N$193, MATCH($A99, 'NZS O&amp;G and CA100'!$B$5:$B$193, 0),MATCH(V$4, 'NZS O&amp;G and CA100'!$E$3:$N$3, 0)),"")</f>
        <v>0</v>
      </c>
      <c r="W99" s="56">
        <f>IF(INDEX('NZS O&amp;G and CA100'!$D$5:$D$193, MATCH($A99, 'NZS O&amp;G and CA100'!$B$5:$B$193, 0)) = "Alignment", INDEX('NZS O&amp;G and CA100'!$E$5:$N$193, MATCH($A99, 'NZS O&amp;G and CA100'!$B$5:$B$193, 0),MATCH(L$3, 'NZS O&amp;G and CA100'!$E$3:$N$3, 0)),"")</f>
        <v>0</v>
      </c>
      <c r="X99" s="57">
        <f>IF(INDEX('NZS O&amp;G and CA100'!$D$5:$D$193, MATCH($A99, 'NZS O&amp;G and CA100'!$B$5:$B$193, 0)) = "Alignment", INDEX('NZS O&amp;G and CA100'!$E$5:$N$193, MATCH($A99, 'NZS O&amp;G and CA100'!$B$5:$B$193, 0),MATCH(M$3, 'NZS O&amp;G and CA100'!$E$3:$N$3, 0)),"")</f>
        <v>0</v>
      </c>
      <c r="Y99" s="1"/>
      <c r="Z99" s="55"/>
      <c r="AA99" s="56"/>
      <c r="AB99" s="56"/>
      <c r="AC99" s="56"/>
      <c r="AD99" s="56"/>
      <c r="AE99" s="56"/>
      <c r="AF99" s="56"/>
      <c r="AG99" s="56"/>
      <c r="AH99" s="56"/>
      <c r="AI99" s="57"/>
      <c r="AJ99" s="1"/>
      <c r="AK99" s="49"/>
      <c r="AL99" s="49"/>
      <c r="AM99" s="49"/>
      <c r="AN99" s="49"/>
      <c r="AO99" s="49"/>
    </row>
    <row r="100" spans="1:108" s="1" customFormat="1" ht="20.149999999999999" customHeight="1" outlineLevel="2">
      <c r="A100" s="302" t="s">
        <v>340</v>
      </c>
      <c r="B100" s="235" t="s">
        <v>154</v>
      </c>
      <c r="C100" s="236" t="str">
        <f>VLOOKUP(A100, 'NZS O&amp;G and CA100'!$B$7:$D$194, 3, FALSE)</f>
        <v>Alignment</v>
      </c>
      <c r="D100" s="310" t="str">
        <f>IF(INDEX('NZS O&amp;G and CA100'!$D$5:$D$193, MATCH($A100, 'NZS O&amp;G and CA100'!$B$5:$B$193, 0)) =$B$4, INDEX('NZS O&amp;G and CA100'!$E$5:$N$193, MATCH($A100, 'NZS O&amp;G and CA100'!$B$5:$B$193, 0),MATCH(D$3, 'NZS O&amp;G and CA100'!$E$3:$N$3, 0)),"")</f>
        <v/>
      </c>
      <c r="E100" s="311" t="str">
        <f>IF(INDEX('NZS O&amp;G and CA100'!$D$5:$D$193, MATCH($A100, 'NZS O&amp;G and CA100'!$B$5:$B$193, 0)) =$B$4, INDEX('NZS O&amp;G and CA100'!$E$5:$N$193, MATCH($A100, 'NZS O&amp;G and CA100'!$B$5:$B$193, 0),MATCH(E$3, 'NZS O&amp;G and CA100'!$E$3:$N$3, 0)),"")</f>
        <v/>
      </c>
      <c r="F100" s="311" t="str">
        <f>IF(INDEX('NZS O&amp;G and CA100'!$D$5:$D$193, MATCH($A100, 'NZS O&amp;G and CA100'!$B$5:$B$193, 0)) =$B$4, INDEX('NZS O&amp;G and CA100'!$E$5:$N$193, MATCH($A100, 'NZS O&amp;G and CA100'!$B$5:$B$193, 0),MATCH(F$3, 'NZS O&amp;G and CA100'!$E$3:$N$3, 0)),"")</f>
        <v/>
      </c>
      <c r="G100" s="311" t="str">
        <f>IF(INDEX('NZS O&amp;G and CA100'!$D$5:$D$193, MATCH($A100, 'NZS O&amp;G and CA100'!$B$5:$B$193, 0)) =$B$4, INDEX('NZS O&amp;G and CA100'!$E$5:$N$193, MATCH($A100, 'NZS O&amp;G and CA100'!$B$5:$B$193, 0),MATCH(G$3, 'NZS O&amp;G and CA100'!$E$3:$N$3, 0)),"")</f>
        <v/>
      </c>
      <c r="H100" s="311" t="str">
        <f>IF(INDEX('NZS O&amp;G and CA100'!$D$5:$D$193, MATCH($A100, 'NZS O&amp;G and CA100'!$B$5:$B$193, 0)) =$B$4, INDEX('NZS O&amp;G and CA100'!$E$5:$N$193, MATCH($A100, 'NZS O&amp;G and CA100'!$B$5:$B$193, 0),MATCH(H$3, 'NZS O&amp;G and CA100'!$E$3:$N$3, 0)),"")</f>
        <v/>
      </c>
      <c r="I100" s="311" t="str">
        <f>IF(INDEX('NZS O&amp;G and CA100'!$D$5:$D$193, MATCH($A100, 'NZS O&amp;G and CA100'!$B$5:$B$193, 0)) =$B$4, INDEX('NZS O&amp;G and CA100'!$E$5:$N$193, MATCH($A100, 'NZS O&amp;G and CA100'!$B$5:$B$193, 0),MATCH(I$3, 'NZS O&amp;G and CA100'!$E$3:$N$3, 0)),"")</f>
        <v/>
      </c>
      <c r="J100" s="311" t="str">
        <f>IF(INDEX('NZS O&amp;G and CA100'!$D$5:$D$193, MATCH($A100, 'NZS O&amp;G and CA100'!$B$5:$B$193, 0)) =$B$4, INDEX('NZS O&amp;G and CA100'!$E$5:$N$193, MATCH($A100, 'NZS O&amp;G and CA100'!$B$5:$B$193, 0),MATCH(J$3, 'NZS O&amp;G and CA100'!$E$3:$N$3, 0)),"")</f>
        <v/>
      </c>
      <c r="K100" s="311" t="str">
        <f>IF(INDEX('NZS O&amp;G and CA100'!$D$5:$D$193, MATCH($A100, 'NZS O&amp;G and CA100'!$B$5:$B$193, 0)) =$B$4, INDEX('NZS O&amp;G and CA100'!$E$5:$N$193, MATCH($A100, 'NZS O&amp;G and CA100'!$B$5:$B$193, 0),MATCH(K$3, 'NZS O&amp;G and CA100'!$E$3:$N$3, 0)),"")</f>
        <v/>
      </c>
      <c r="L100" s="311" t="str">
        <f>IF(INDEX('NZS O&amp;G and CA100'!$D$5:$D$193, MATCH($A100, 'NZS O&amp;G and CA100'!$B$5:$B$193, 0)) =$B$4, INDEX('NZS O&amp;G and CA100'!$E$5:$N$193, MATCH($A100, 'NZS O&amp;G and CA100'!$B$5:$B$193, 0),MATCH(L$3, 'NZS O&amp;G and CA100'!$E$3:$N$3, 0)),"")</f>
        <v/>
      </c>
      <c r="M100" s="312" t="str">
        <f>IF(INDEX('NZS O&amp;G and CA100'!$D$5:$D$193, MATCH($A100, 'NZS O&amp;G and CA100'!$B$5:$B$193, 0)) =$B$4, INDEX('NZS O&amp;G and CA100'!$E$5:$N$193, MATCH($A100, 'NZS O&amp;G and CA100'!$B$5:$B$193, 0),MATCH(M$3, 'NZS O&amp;G and CA100'!$E$3:$N$3, 0)),"")</f>
        <v/>
      </c>
      <c r="O100" s="55">
        <f>IF(INDEX('NZS O&amp;G and CA100'!$D$5:$D$193, MATCH($A100, 'NZS O&amp;G and CA100'!$B$5:$B$193, 0)) = "Alignment", INDEX('NZS O&amp;G and CA100'!$E$5:$N$193, MATCH($A100, 'NZS O&amp;G and CA100'!$B$5:$B$193, 0),MATCH(O$4, 'NZS O&amp;G and CA100'!$E$3:$N$3, 0)),"")</f>
        <v>0</v>
      </c>
      <c r="P100" s="56">
        <f>IF(INDEX('NZS O&amp;G and CA100'!$D$5:$D$193, MATCH($A100, 'NZS O&amp;G and CA100'!$B$5:$B$193, 0)) = "Alignment", INDEX('NZS O&amp;G and CA100'!$E$5:$N$193, MATCH($A100, 'NZS O&amp;G and CA100'!$B$5:$B$193, 0),MATCH(P$4, 'NZS O&amp;G and CA100'!$E$3:$N$3, 0)),"")</f>
        <v>0</v>
      </c>
      <c r="Q100" s="56">
        <f>IF(INDEX('NZS O&amp;G and CA100'!$D$5:$D$193, MATCH($A100, 'NZS O&amp;G and CA100'!$B$5:$B$193, 0)) = "Alignment", INDEX('NZS O&amp;G and CA100'!$E$5:$N$193, MATCH($A100, 'NZS O&amp;G and CA100'!$B$5:$B$193, 0),MATCH(Q$4, 'NZS O&amp;G and CA100'!$E$3:$N$3, 0)),"")</f>
        <v>0</v>
      </c>
      <c r="R100" s="56">
        <f>IF(INDEX('NZS O&amp;G and CA100'!$D$5:$D$193, MATCH($A100, 'NZS O&amp;G and CA100'!$B$5:$B$193, 0)) = "Alignment", INDEX('NZS O&amp;G and CA100'!$E$5:$N$193, MATCH($A100, 'NZS O&amp;G and CA100'!$B$5:$B$193, 0),MATCH(R$4, 'NZS O&amp;G and CA100'!$E$3:$N$3, 0)),"")</f>
        <v>0</v>
      </c>
      <c r="S100" s="56">
        <f>IF(INDEX('NZS O&amp;G and CA100'!$D$5:$D$193, MATCH($A100, 'NZS O&amp;G and CA100'!$B$5:$B$193, 0)) = "Alignment", INDEX('NZS O&amp;G and CA100'!$E$5:$N$193, MATCH($A100, 'NZS O&amp;G and CA100'!$B$5:$B$193, 0),MATCH(S$4, 'NZS O&amp;G and CA100'!$E$3:$N$3, 0)),"")</f>
        <v>0</v>
      </c>
      <c r="T100" s="56">
        <f>IF(INDEX('NZS O&amp;G and CA100'!$D$5:$D$193, MATCH($A100, 'NZS O&amp;G and CA100'!$B$5:$B$193, 0)) = "Alignment", INDEX('NZS O&amp;G and CA100'!$E$5:$N$193, MATCH($A100, 'NZS O&amp;G and CA100'!$B$5:$B$193, 0),MATCH(T$4, 'NZS O&amp;G and CA100'!$E$3:$N$3, 0)),"")</f>
        <v>0</v>
      </c>
      <c r="U100" s="56">
        <f>IF(INDEX('NZS O&amp;G and CA100'!$D$5:$D$193, MATCH($A100, 'NZS O&amp;G and CA100'!$B$5:$B$193, 0)) = "Alignment", INDEX('NZS O&amp;G and CA100'!$E$5:$N$193, MATCH($A100, 'NZS O&amp;G and CA100'!$B$5:$B$193, 0),MATCH(U$4, 'NZS O&amp;G and CA100'!$E$3:$N$3, 0)),"")</f>
        <v>0</v>
      </c>
      <c r="V100" s="56">
        <f>IF(INDEX('NZS O&amp;G and CA100'!$D$5:$D$193, MATCH($A100, 'NZS O&amp;G and CA100'!$B$5:$B$193, 0)) = "Alignment", INDEX('NZS O&amp;G and CA100'!$E$5:$N$193, MATCH($A100, 'NZS O&amp;G and CA100'!$B$5:$B$193, 0),MATCH(V$4, 'NZS O&amp;G and CA100'!$E$3:$N$3, 0)),"")</f>
        <v>0</v>
      </c>
      <c r="W100" s="56">
        <f>IF(INDEX('NZS O&amp;G and CA100'!$D$5:$D$193, MATCH($A100, 'NZS O&amp;G and CA100'!$B$5:$B$193, 0)) = "Alignment", INDEX('NZS O&amp;G and CA100'!$E$5:$N$193, MATCH($A100, 'NZS O&amp;G and CA100'!$B$5:$B$193, 0),MATCH(L$3, 'NZS O&amp;G and CA100'!$E$3:$N$3, 0)),"")</f>
        <v>0</v>
      </c>
      <c r="X100" s="57" t="str">
        <f>IF(INDEX('NZS O&amp;G and CA100'!$D$5:$D$193, MATCH($A100, 'NZS O&amp;G and CA100'!$B$5:$B$193, 0)) = "Alignment", INDEX('NZS O&amp;G and CA100'!$E$5:$N$193, MATCH($A100, 'NZS O&amp;G and CA100'!$B$5:$B$193, 0),MATCH(M$3, 'NZS O&amp;G and CA100'!$E$3:$N$3, 0)),"")</f>
        <v>Not Applicable</v>
      </c>
      <c r="Z100" s="55"/>
      <c r="AA100" s="56"/>
      <c r="AB100" s="56"/>
      <c r="AC100" s="56"/>
      <c r="AD100" s="56"/>
      <c r="AE100" s="56"/>
      <c r="AF100" s="56"/>
      <c r="AG100" s="56"/>
      <c r="AH100" s="56"/>
      <c r="AI100" s="57"/>
      <c r="AK100" s="49"/>
      <c r="AL100" s="49"/>
      <c r="AM100" s="49"/>
      <c r="AN100" s="49"/>
      <c r="AO100" s="49"/>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row>
    <row r="101" spans="1:108" s="1" customFormat="1" ht="20.149999999999999" customHeight="1" outlineLevel="2">
      <c r="A101" s="302" t="s">
        <v>341</v>
      </c>
      <c r="B101" s="235" t="s">
        <v>155</v>
      </c>
      <c r="C101" s="236" t="str">
        <f>VLOOKUP(A101, 'NZS O&amp;G and CA100'!$B$7:$D$194, 3, FALSE)</f>
        <v>Alignment</v>
      </c>
      <c r="D101" s="310" t="str">
        <f>IF(INDEX('NZS O&amp;G and CA100'!$D$5:$D$193, MATCH($A101, 'NZS O&amp;G and CA100'!$B$5:$B$193, 0)) =$B$4, INDEX('NZS O&amp;G and CA100'!$E$5:$N$193, MATCH($A101, 'NZS O&amp;G and CA100'!$B$5:$B$193, 0),MATCH(D$3, 'NZS O&amp;G and CA100'!$E$3:$N$3, 0)),"")</f>
        <v/>
      </c>
      <c r="E101" s="311" t="str">
        <f>IF(INDEX('NZS O&amp;G and CA100'!$D$5:$D$193, MATCH($A101, 'NZS O&amp;G and CA100'!$B$5:$B$193, 0)) =$B$4, INDEX('NZS O&amp;G and CA100'!$E$5:$N$193, MATCH($A101, 'NZS O&amp;G and CA100'!$B$5:$B$193, 0),MATCH(E$3, 'NZS O&amp;G and CA100'!$E$3:$N$3, 0)),"")</f>
        <v/>
      </c>
      <c r="F101" s="311" t="str">
        <f>IF(INDEX('NZS O&amp;G and CA100'!$D$5:$D$193, MATCH($A101, 'NZS O&amp;G and CA100'!$B$5:$B$193, 0)) =$B$4, INDEX('NZS O&amp;G and CA100'!$E$5:$N$193, MATCH($A101, 'NZS O&amp;G and CA100'!$B$5:$B$193, 0),MATCH(F$3, 'NZS O&amp;G and CA100'!$E$3:$N$3, 0)),"")</f>
        <v/>
      </c>
      <c r="G101" s="311" t="str">
        <f>IF(INDEX('NZS O&amp;G and CA100'!$D$5:$D$193, MATCH($A101, 'NZS O&amp;G and CA100'!$B$5:$B$193, 0)) =$B$4, INDEX('NZS O&amp;G and CA100'!$E$5:$N$193, MATCH($A101, 'NZS O&amp;G and CA100'!$B$5:$B$193, 0),MATCH(G$3, 'NZS O&amp;G and CA100'!$E$3:$N$3, 0)),"")</f>
        <v/>
      </c>
      <c r="H101" s="311" t="str">
        <f>IF(INDEX('NZS O&amp;G and CA100'!$D$5:$D$193, MATCH($A101, 'NZS O&amp;G and CA100'!$B$5:$B$193, 0)) =$B$4, INDEX('NZS O&amp;G and CA100'!$E$5:$N$193, MATCH($A101, 'NZS O&amp;G and CA100'!$B$5:$B$193, 0),MATCH(H$3, 'NZS O&amp;G and CA100'!$E$3:$N$3, 0)),"")</f>
        <v/>
      </c>
      <c r="I101" s="311" t="str">
        <f>IF(INDEX('NZS O&amp;G and CA100'!$D$5:$D$193, MATCH($A101, 'NZS O&amp;G and CA100'!$B$5:$B$193, 0)) =$B$4, INDEX('NZS O&amp;G and CA100'!$E$5:$N$193, MATCH($A101, 'NZS O&amp;G and CA100'!$B$5:$B$193, 0),MATCH(I$3, 'NZS O&amp;G and CA100'!$E$3:$N$3, 0)),"")</f>
        <v/>
      </c>
      <c r="J101" s="311" t="str">
        <f>IF(INDEX('NZS O&amp;G and CA100'!$D$5:$D$193, MATCH($A101, 'NZS O&amp;G and CA100'!$B$5:$B$193, 0)) =$B$4, INDEX('NZS O&amp;G and CA100'!$E$5:$N$193, MATCH($A101, 'NZS O&amp;G and CA100'!$B$5:$B$193, 0),MATCH(J$3, 'NZS O&amp;G and CA100'!$E$3:$N$3, 0)),"")</f>
        <v/>
      </c>
      <c r="K101" s="311" t="str">
        <f>IF(INDEX('NZS O&amp;G and CA100'!$D$5:$D$193, MATCH($A101, 'NZS O&amp;G and CA100'!$B$5:$B$193, 0)) =$B$4, INDEX('NZS O&amp;G and CA100'!$E$5:$N$193, MATCH($A101, 'NZS O&amp;G and CA100'!$B$5:$B$193, 0),MATCH(K$3, 'NZS O&amp;G and CA100'!$E$3:$N$3, 0)),"")</f>
        <v/>
      </c>
      <c r="L101" s="311" t="str">
        <f>IF(INDEX('NZS O&amp;G and CA100'!$D$5:$D$193, MATCH($A101, 'NZS O&amp;G and CA100'!$B$5:$B$193, 0)) =$B$4, INDEX('NZS O&amp;G and CA100'!$E$5:$N$193, MATCH($A101, 'NZS O&amp;G and CA100'!$B$5:$B$193, 0),MATCH(L$3, 'NZS O&amp;G and CA100'!$E$3:$N$3, 0)),"")</f>
        <v/>
      </c>
      <c r="M101" s="312" t="str">
        <f>IF(INDEX('NZS O&amp;G and CA100'!$D$5:$D$193, MATCH($A101, 'NZS O&amp;G and CA100'!$B$5:$B$193, 0)) =$B$4, INDEX('NZS O&amp;G and CA100'!$E$5:$N$193, MATCH($A101, 'NZS O&amp;G and CA100'!$B$5:$B$193, 0),MATCH(M$3, 'NZS O&amp;G and CA100'!$E$3:$N$3, 0)),"")</f>
        <v/>
      </c>
      <c r="O101" s="55">
        <f>IF(INDEX('NZS O&amp;G and CA100'!$D$5:$D$193, MATCH($A101, 'NZS O&amp;G and CA100'!$B$5:$B$193, 0)) = "Alignment", INDEX('NZS O&amp;G and CA100'!$E$5:$N$193, MATCH($A101, 'NZS O&amp;G and CA100'!$B$5:$B$193, 0),MATCH(O$4, 'NZS O&amp;G and CA100'!$E$3:$N$3, 0)),"")</f>
        <v>0</v>
      </c>
      <c r="P101" s="56">
        <f>IF(INDEX('NZS O&amp;G and CA100'!$D$5:$D$193, MATCH($A101, 'NZS O&amp;G and CA100'!$B$5:$B$193, 0)) = "Alignment", INDEX('NZS O&amp;G and CA100'!$E$5:$N$193, MATCH($A101, 'NZS O&amp;G and CA100'!$B$5:$B$193, 0),MATCH(P$4, 'NZS O&amp;G and CA100'!$E$3:$N$3, 0)),"")</f>
        <v>0</v>
      </c>
      <c r="Q101" s="56">
        <f>IF(INDEX('NZS O&amp;G and CA100'!$D$5:$D$193, MATCH($A101, 'NZS O&amp;G and CA100'!$B$5:$B$193, 0)) = "Alignment", INDEX('NZS O&amp;G and CA100'!$E$5:$N$193, MATCH($A101, 'NZS O&amp;G and CA100'!$B$5:$B$193, 0),MATCH(Q$4, 'NZS O&amp;G and CA100'!$E$3:$N$3, 0)),"")</f>
        <v>0</v>
      </c>
      <c r="R101" s="56">
        <f>IF(INDEX('NZS O&amp;G and CA100'!$D$5:$D$193, MATCH($A101, 'NZS O&amp;G and CA100'!$B$5:$B$193, 0)) = "Alignment", INDEX('NZS O&amp;G and CA100'!$E$5:$N$193, MATCH($A101, 'NZS O&amp;G and CA100'!$B$5:$B$193, 0),MATCH(R$4, 'NZS O&amp;G and CA100'!$E$3:$N$3, 0)),"")</f>
        <v>0</v>
      </c>
      <c r="S101" s="56">
        <f>IF(INDEX('NZS O&amp;G and CA100'!$D$5:$D$193, MATCH($A101, 'NZS O&amp;G and CA100'!$B$5:$B$193, 0)) = "Alignment", INDEX('NZS O&amp;G and CA100'!$E$5:$N$193, MATCH($A101, 'NZS O&amp;G and CA100'!$B$5:$B$193, 0),MATCH(S$4, 'NZS O&amp;G and CA100'!$E$3:$N$3, 0)),"")</f>
        <v>0</v>
      </c>
      <c r="T101" s="56">
        <f>IF(INDEX('NZS O&amp;G and CA100'!$D$5:$D$193, MATCH($A101, 'NZS O&amp;G and CA100'!$B$5:$B$193, 0)) = "Alignment", INDEX('NZS O&amp;G and CA100'!$E$5:$N$193, MATCH($A101, 'NZS O&amp;G and CA100'!$B$5:$B$193, 0),MATCH(T$4, 'NZS O&amp;G and CA100'!$E$3:$N$3, 0)),"")</f>
        <v>0</v>
      </c>
      <c r="U101" s="56">
        <f>IF(INDEX('NZS O&amp;G and CA100'!$D$5:$D$193, MATCH($A101, 'NZS O&amp;G and CA100'!$B$5:$B$193, 0)) = "Alignment", INDEX('NZS O&amp;G and CA100'!$E$5:$N$193, MATCH($A101, 'NZS O&amp;G and CA100'!$B$5:$B$193, 0),MATCH(U$4, 'NZS O&amp;G and CA100'!$E$3:$N$3, 0)),"")</f>
        <v>0</v>
      </c>
      <c r="V101" s="56">
        <f>IF(INDEX('NZS O&amp;G and CA100'!$D$5:$D$193, MATCH($A101, 'NZS O&amp;G and CA100'!$B$5:$B$193, 0)) = "Alignment", INDEX('NZS O&amp;G and CA100'!$E$5:$N$193, MATCH($A101, 'NZS O&amp;G and CA100'!$B$5:$B$193, 0),MATCH(V$4, 'NZS O&amp;G and CA100'!$E$3:$N$3, 0)),"")</f>
        <v>1</v>
      </c>
      <c r="W101" s="56">
        <f>IF(INDEX('NZS O&amp;G and CA100'!$D$5:$D$193, MATCH($A101, 'NZS O&amp;G and CA100'!$B$5:$B$193, 0)) = "Alignment", INDEX('NZS O&amp;G and CA100'!$E$5:$N$193, MATCH($A101, 'NZS O&amp;G and CA100'!$B$5:$B$193, 0),MATCH(L$3, 'NZS O&amp;G and CA100'!$E$3:$N$3, 0)),"")</f>
        <v>0</v>
      </c>
      <c r="X101" s="57">
        <f>IF(INDEX('NZS O&amp;G and CA100'!$D$5:$D$193, MATCH($A101, 'NZS O&amp;G and CA100'!$B$5:$B$193, 0)) = "Alignment", INDEX('NZS O&amp;G and CA100'!$E$5:$N$193, MATCH($A101, 'NZS O&amp;G and CA100'!$B$5:$B$193, 0),MATCH(M$3, 'NZS O&amp;G and CA100'!$E$3:$N$3, 0)),"")</f>
        <v>0</v>
      </c>
      <c r="Z101" s="55"/>
      <c r="AA101" s="56"/>
      <c r="AB101" s="56"/>
      <c r="AC101" s="56"/>
      <c r="AD101" s="56"/>
      <c r="AE101" s="56"/>
      <c r="AF101" s="56"/>
      <c r="AG101" s="56"/>
      <c r="AH101" s="56"/>
      <c r="AI101" s="57"/>
      <c r="AK101" s="49"/>
      <c r="AL101" s="49"/>
      <c r="AM101" s="49"/>
      <c r="AN101" s="49"/>
      <c r="AO101" s="49"/>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row>
    <row r="102" spans="1:108" s="1" customFormat="1" ht="20.149999999999999" customHeight="1" outlineLevel="2">
      <c r="A102" s="302" t="s">
        <v>342</v>
      </c>
      <c r="B102" s="235" t="s">
        <v>156</v>
      </c>
      <c r="C102" s="236" t="str">
        <f>VLOOKUP(A102, 'NZS O&amp;G and CA100'!$B$7:$D$194, 3, FALSE)</f>
        <v>Alignment</v>
      </c>
      <c r="D102" s="310" t="str">
        <f>IF(INDEX('NZS O&amp;G and CA100'!$D$5:$D$193, MATCH($A102, 'NZS O&amp;G and CA100'!$B$5:$B$193, 0)) =$B$4, INDEX('NZS O&amp;G and CA100'!$E$5:$N$193, MATCH($A102, 'NZS O&amp;G and CA100'!$B$5:$B$193, 0),MATCH(D$3, 'NZS O&amp;G and CA100'!$E$3:$N$3, 0)),"")</f>
        <v/>
      </c>
      <c r="E102" s="311" t="str">
        <f>IF(INDEX('NZS O&amp;G and CA100'!$D$5:$D$193, MATCH($A102, 'NZS O&amp;G and CA100'!$B$5:$B$193, 0)) =$B$4, INDEX('NZS O&amp;G and CA100'!$E$5:$N$193, MATCH($A102, 'NZS O&amp;G and CA100'!$B$5:$B$193, 0),MATCH(E$3, 'NZS O&amp;G and CA100'!$E$3:$N$3, 0)),"")</f>
        <v/>
      </c>
      <c r="F102" s="311" t="str">
        <f>IF(INDEX('NZS O&amp;G and CA100'!$D$5:$D$193, MATCH($A102, 'NZS O&amp;G and CA100'!$B$5:$B$193, 0)) =$B$4, INDEX('NZS O&amp;G and CA100'!$E$5:$N$193, MATCH($A102, 'NZS O&amp;G and CA100'!$B$5:$B$193, 0),MATCH(F$3, 'NZS O&amp;G and CA100'!$E$3:$N$3, 0)),"")</f>
        <v/>
      </c>
      <c r="G102" s="311" t="str">
        <f>IF(INDEX('NZS O&amp;G and CA100'!$D$5:$D$193, MATCH($A102, 'NZS O&amp;G and CA100'!$B$5:$B$193, 0)) =$B$4, INDEX('NZS O&amp;G and CA100'!$E$5:$N$193, MATCH($A102, 'NZS O&amp;G and CA100'!$B$5:$B$193, 0),MATCH(G$3, 'NZS O&amp;G and CA100'!$E$3:$N$3, 0)),"")</f>
        <v/>
      </c>
      <c r="H102" s="311" t="str">
        <f>IF(INDEX('NZS O&amp;G and CA100'!$D$5:$D$193, MATCH($A102, 'NZS O&amp;G and CA100'!$B$5:$B$193, 0)) =$B$4, INDEX('NZS O&amp;G and CA100'!$E$5:$N$193, MATCH($A102, 'NZS O&amp;G and CA100'!$B$5:$B$193, 0),MATCH(H$3, 'NZS O&amp;G and CA100'!$E$3:$N$3, 0)),"")</f>
        <v/>
      </c>
      <c r="I102" s="311" t="str">
        <f>IF(INDEX('NZS O&amp;G and CA100'!$D$5:$D$193, MATCH($A102, 'NZS O&amp;G and CA100'!$B$5:$B$193, 0)) =$B$4, INDEX('NZS O&amp;G and CA100'!$E$5:$N$193, MATCH($A102, 'NZS O&amp;G and CA100'!$B$5:$B$193, 0),MATCH(I$3, 'NZS O&amp;G and CA100'!$E$3:$N$3, 0)),"")</f>
        <v/>
      </c>
      <c r="J102" s="311" t="str">
        <f>IF(INDEX('NZS O&amp;G and CA100'!$D$5:$D$193, MATCH($A102, 'NZS O&amp;G and CA100'!$B$5:$B$193, 0)) =$B$4, INDEX('NZS O&amp;G and CA100'!$E$5:$N$193, MATCH($A102, 'NZS O&amp;G and CA100'!$B$5:$B$193, 0),MATCH(J$3, 'NZS O&amp;G and CA100'!$E$3:$N$3, 0)),"")</f>
        <v/>
      </c>
      <c r="K102" s="311" t="str">
        <f>IF(INDEX('NZS O&amp;G and CA100'!$D$5:$D$193, MATCH($A102, 'NZS O&amp;G and CA100'!$B$5:$B$193, 0)) =$B$4, INDEX('NZS O&amp;G and CA100'!$E$5:$N$193, MATCH($A102, 'NZS O&amp;G and CA100'!$B$5:$B$193, 0),MATCH(K$3, 'NZS O&amp;G and CA100'!$E$3:$N$3, 0)),"")</f>
        <v/>
      </c>
      <c r="L102" s="311" t="str">
        <f>IF(INDEX('NZS O&amp;G and CA100'!$D$5:$D$193, MATCH($A102, 'NZS O&amp;G and CA100'!$B$5:$B$193, 0)) =$B$4, INDEX('NZS O&amp;G and CA100'!$E$5:$N$193, MATCH($A102, 'NZS O&amp;G and CA100'!$B$5:$B$193, 0),MATCH(L$3, 'NZS O&amp;G and CA100'!$E$3:$N$3, 0)),"")</f>
        <v/>
      </c>
      <c r="M102" s="312" t="str">
        <f>IF(INDEX('NZS O&amp;G and CA100'!$D$5:$D$193, MATCH($A102, 'NZS O&amp;G and CA100'!$B$5:$B$193, 0)) =$B$4, INDEX('NZS O&amp;G and CA100'!$E$5:$N$193, MATCH($A102, 'NZS O&amp;G and CA100'!$B$5:$B$193, 0),MATCH(M$3, 'NZS O&amp;G and CA100'!$E$3:$N$3, 0)),"")</f>
        <v/>
      </c>
      <c r="O102" s="55">
        <f>IF(INDEX('NZS O&amp;G and CA100'!$D$5:$D$193, MATCH($A102, 'NZS O&amp;G and CA100'!$B$5:$B$193, 0)) = "Alignment", INDEX('NZS O&amp;G and CA100'!$E$5:$N$193, MATCH($A102, 'NZS O&amp;G and CA100'!$B$5:$B$193, 0),MATCH(O$4, 'NZS O&amp;G and CA100'!$E$3:$N$3, 0)),"")</f>
        <v>1</v>
      </c>
      <c r="P102" s="56">
        <f>IF(INDEX('NZS O&amp;G and CA100'!$D$5:$D$193, MATCH($A102, 'NZS O&amp;G and CA100'!$B$5:$B$193, 0)) = "Alignment", INDEX('NZS O&amp;G and CA100'!$E$5:$N$193, MATCH($A102, 'NZS O&amp;G and CA100'!$B$5:$B$193, 0),MATCH(P$4, 'NZS O&amp;G and CA100'!$E$3:$N$3, 0)),"")</f>
        <v>0</v>
      </c>
      <c r="Q102" s="56">
        <f>IF(INDEX('NZS O&amp;G and CA100'!$D$5:$D$193, MATCH($A102, 'NZS O&amp;G and CA100'!$B$5:$B$193, 0)) = "Alignment", INDEX('NZS O&amp;G and CA100'!$E$5:$N$193, MATCH($A102, 'NZS O&amp;G and CA100'!$B$5:$B$193, 0),MATCH(Q$4, 'NZS O&amp;G and CA100'!$E$3:$N$3, 0)),"")</f>
        <v>0</v>
      </c>
      <c r="R102" s="56">
        <f>IF(INDEX('NZS O&amp;G and CA100'!$D$5:$D$193, MATCH($A102, 'NZS O&amp;G and CA100'!$B$5:$B$193, 0)) = "Alignment", INDEX('NZS O&amp;G and CA100'!$E$5:$N$193, MATCH($A102, 'NZS O&amp;G and CA100'!$B$5:$B$193, 0),MATCH(R$4, 'NZS O&amp;G and CA100'!$E$3:$N$3, 0)),"")</f>
        <v>0</v>
      </c>
      <c r="S102" s="56">
        <f>IF(INDEX('NZS O&amp;G and CA100'!$D$5:$D$193, MATCH($A102, 'NZS O&amp;G and CA100'!$B$5:$B$193, 0)) = "Alignment", INDEX('NZS O&amp;G and CA100'!$E$5:$N$193, MATCH($A102, 'NZS O&amp;G and CA100'!$B$5:$B$193, 0),MATCH(S$4, 'NZS O&amp;G and CA100'!$E$3:$N$3, 0)),"")</f>
        <v>0</v>
      </c>
      <c r="T102" s="56">
        <f>IF(INDEX('NZS O&amp;G and CA100'!$D$5:$D$193, MATCH($A102, 'NZS O&amp;G and CA100'!$B$5:$B$193, 0)) = "Alignment", INDEX('NZS O&amp;G and CA100'!$E$5:$N$193, MATCH($A102, 'NZS O&amp;G and CA100'!$B$5:$B$193, 0),MATCH(T$4, 'NZS O&amp;G and CA100'!$E$3:$N$3, 0)),"")</f>
        <v>0</v>
      </c>
      <c r="U102" s="56">
        <f>IF(INDEX('NZS O&amp;G and CA100'!$D$5:$D$193, MATCH($A102, 'NZS O&amp;G and CA100'!$B$5:$B$193, 0)) = "Alignment", INDEX('NZS O&amp;G and CA100'!$E$5:$N$193, MATCH($A102, 'NZS O&amp;G and CA100'!$B$5:$B$193, 0),MATCH(U$4, 'NZS O&amp;G and CA100'!$E$3:$N$3, 0)),"")</f>
        <v>0</v>
      </c>
      <c r="V102" s="56">
        <f>IF(INDEX('NZS O&amp;G and CA100'!$D$5:$D$193, MATCH($A102, 'NZS O&amp;G and CA100'!$B$5:$B$193, 0)) = "Alignment", INDEX('NZS O&amp;G and CA100'!$E$5:$N$193, MATCH($A102, 'NZS O&amp;G and CA100'!$B$5:$B$193, 0),MATCH(V$4, 'NZS O&amp;G and CA100'!$E$3:$N$3, 0)),"")</f>
        <v>0</v>
      </c>
      <c r="W102" s="56">
        <f>IF(INDEX('NZS O&amp;G and CA100'!$D$5:$D$193, MATCH($A102, 'NZS O&amp;G and CA100'!$B$5:$B$193, 0)) = "Alignment", INDEX('NZS O&amp;G and CA100'!$E$5:$N$193, MATCH($A102, 'NZS O&amp;G and CA100'!$B$5:$B$193, 0),MATCH(L$3, 'NZS O&amp;G and CA100'!$E$3:$N$3, 0)),"")</f>
        <v>0</v>
      </c>
      <c r="X102" s="57">
        <f>IF(INDEX('NZS O&amp;G and CA100'!$D$5:$D$193, MATCH($A102, 'NZS O&amp;G and CA100'!$B$5:$B$193, 0)) = "Alignment", INDEX('NZS O&amp;G and CA100'!$E$5:$N$193, MATCH($A102, 'NZS O&amp;G and CA100'!$B$5:$B$193, 0),MATCH(M$3, 'NZS O&amp;G and CA100'!$E$3:$N$3, 0)),"")</f>
        <v>0</v>
      </c>
      <c r="Z102" s="55"/>
      <c r="AA102" s="56"/>
      <c r="AB102" s="56"/>
      <c r="AC102" s="56"/>
      <c r="AD102" s="56"/>
      <c r="AE102" s="56"/>
      <c r="AF102" s="56"/>
      <c r="AG102" s="56"/>
      <c r="AH102" s="56"/>
      <c r="AI102" s="57"/>
      <c r="AK102" s="49"/>
      <c r="AL102" s="49"/>
      <c r="AM102" s="49"/>
      <c r="AN102" s="49"/>
      <c r="AO102" s="49"/>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row>
    <row r="103" spans="1:108" s="1" customFormat="1" ht="20.149999999999999" customHeight="1" outlineLevel="2">
      <c r="A103" s="302" t="s">
        <v>343</v>
      </c>
      <c r="B103" s="235" t="s">
        <v>157</v>
      </c>
      <c r="C103" s="236" t="str">
        <f>VLOOKUP(A103, 'NZS O&amp;G and CA100'!$B$7:$D$194, 3, FALSE)</f>
        <v>Alignment</v>
      </c>
      <c r="D103" s="310" t="str">
        <f>IF(INDEX('NZS O&amp;G and CA100'!$D$5:$D$193, MATCH($A103, 'NZS O&amp;G and CA100'!$B$5:$B$193, 0)) =$B$4, INDEX('NZS O&amp;G and CA100'!$E$5:$N$193, MATCH($A103, 'NZS O&amp;G and CA100'!$B$5:$B$193, 0),MATCH(D$3, 'NZS O&amp;G and CA100'!$E$3:$N$3, 0)),"")</f>
        <v/>
      </c>
      <c r="E103" s="311" t="str">
        <f>IF(INDEX('NZS O&amp;G and CA100'!$D$5:$D$193, MATCH($A103, 'NZS O&amp;G and CA100'!$B$5:$B$193, 0)) =$B$4, INDEX('NZS O&amp;G and CA100'!$E$5:$N$193, MATCH($A103, 'NZS O&amp;G and CA100'!$B$5:$B$193, 0),MATCH(E$3, 'NZS O&amp;G and CA100'!$E$3:$N$3, 0)),"")</f>
        <v/>
      </c>
      <c r="F103" s="311" t="str">
        <f>IF(INDEX('NZS O&amp;G and CA100'!$D$5:$D$193, MATCH($A103, 'NZS O&amp;G and CA100'!$B$5:$B$193, 0)) =$B$4, INDEX('NZS O&amp;G and CA100'!$E$5:$N$193, MATCH($A103, 'NZS O&amp;G and CA100'!$B$5:$B$193, 0),MATCH(F$3, 'NZS O&amp;G and CA100'!$E$3:$N$3, 0)),"")</f>
        <v/>
      </c>
      <c r="G103" s="311" t="str">
        <f>IF(INDEX('NZS O&amp;G and CA100'!$D$5:$D$193, MATCH($A103, 'NZS O&amp;G and CA100'!$B$5:$B$193, 0)) =$B$4, INDEX('NZS O&amp;G and CA100'!$E$5:$N$193, MATCH($A103, 'NZS O&amp;G and CA100'!$B$5:$B$193, 0),MATCH(G$3, 'NZS O&amp;G and CA100'!$E$3:$N$3, 0)),"")</f>
        <v/>
      </c>
      <c r="H103" s="311" t="str">
        <f>IF(INDEX('NZS O&amp;G and CA100'!$D$5:$D$193, MATCH($A103, 'NZS O&amp;G and CA100'!$B$5:$B$193, 0)) =$B$4, INDEX('NZS O&amp;G and CA100'!$E$5:$N$193, MATCH($A103, 'NZS O&amp;G and CA100'!$B$5:$B$193, 0),MATCH(H$3, 'NZS O&amp;G and CA100'!$E$3:$N$3, 0)),"")</f>
        <v/>
      </c>
      <c r="I103" s="311" t="str">
        <f>IF(INDEX('NZS O&amp;G and CA100'!$D$5:$D$193, MATCH($A103, 'NZS O&amp;G and CA100'!$B$5:$B$193, 0)) =$B$4, INDEX('NZS O&amp;G and CA100'!$E$5:$N$193, MATCH($A103, 'NZS O&amp;G and CA100'!$B$5:$B$193, 0),MATCH(I$3, 'NZS O&amp;G and CA100'!$E$3:$N$3, 0)),"")</f>
        <v/>
      </c>
      <c r="J103" s="311" t="str">
        <f>IF(INDEX('NZS O&amp;G and CA100'!$D$5:$D$193, MATCH($A103, 'NZS O&amp;G and CA100'!$B$5:$B$193, 0)) =$B$4, INDEX('NZS O&amp;G and CA100'!$E$5:$N$193, MATCH($A103, 'NZS O&amp;G and CA100'!$B$5:$B$193, 0),MATCH(J$3, 'NZS O&amp;G and CA100'!$E$3:$N$3, 0)),"")</f>
        <v/>
      </c>
      <c r="K103" s="311" t="str">
        <f>IF(INDEX('NZS O&amp;G and CA100'!$D$5:$D$193, MATCH($A103, 'NZS O&amp;G and CA100'!$B$5:$B$193, 0)) =$B$4, INDEX('NZS O&amp;G and CA100'!$E$5:$N$193, MATCH($A103, 'NZS O&amp;G and CA100'!$B$5:$B$193, 0),MATCH(K$3, 'NZS O&amp;G and CA100'!$E$3:$N$3, 0)),"")</f>
        <v/>
      </c>
      <c r="L103" s="311" t="str">
        <f>IF(INDEX('NZS O&amp;G and CA100'!$D$5:$D$193, MATCH($A103, 'NZS O&amp;G and CA100'!$B$5:$B$193, 0)) =$B$4, INDEX('NZS O&amp;G and CA100'!$E$5:$N$193, MATCH($A103, 'NZS O&amp;G and CA100'!$B$5:$B$193, 0),MATCH(L$3, 'NZS O&amp;G and CA100'!$E$3:$N$3, 0)),"")</f>
        <v/>
      </c>
      <c r="M103" s="312" t="str">
        <f>IF(INDEX('NZS O&amp;G and CA100'!$D$5:$D$193, MATCH($A103, 'NZS O&amp;G and CA100'!$B$5:$B$193, 0)) =$B$4, INDEX('NZS O&amp;G and CA100'!$E$5:$N$193, MATCH($A103, 'NZS O&amp;G and CA100'!$B$5:$B$193, 0),MATCH(M$3, 'NZS O&amp;G and CA100'!$E$3:$N$3, 0)),"")</f>
        <v/>
      </c>
      <c r="O103" s="55" t="str">
        <f>IF(INDEX('NZS O&amp;G and CA100'!$D$5:$D$193, MATCH($A103, 'NZS O&amp;G and CA100'!$B$5:$B$193, 0)) = "Alignment", INDEX('NZS O&amp;G and CA100'!$E$5:$N$193, MATCH($A103, 'NZS O&amp;G and CA100'!$B$5:$B$193, 0),MATCH(O$4, 'NZS O&amp;G and CA100'!$E$3:$N$3, 0)),"")</f>
        <v>Not Applicable</v>
      </c>
      <c r="P103" s="56">
        <f>IF(INDEX('NZS O&amp;G and CA100'!$D$5:$D$193, MATCH($A103, 'NZS O&amp;G and CA100'!$B$5:$B$193, 0)) = "Alignment", INDEX('NZS O&amp;G and CA100'!$E$5:$N$193, MATCH($A103, 'NZS O&amp;G and CA100'!$B$5:$B$193, 0),MATCH(P$4, 'NZS O&amp;G and CA100'!$E$3:$N$3, 0)),"")</f>
        <v>0</v>
      </c>
      <c r="Q103" s="56" t="str">
        <f>IF(INDEX('NZS O&amp;G and CA100'!$D$5:$D$193, MATCH($A103, 'NZS O&amp;G and CA100'!$B$5:$B$193, 0)) = "Alignment", INDEX('NZS O&amp;G and CA100'!$E$5:$N$193, MATCH($A103, 'NZS O&amp;G and CA100'!$B$5:$B$193, 0),MATCH(Q$4, 'NZS O&amp;G and CA100'!$E$3:$N$3, 0)),"")</f>
        <v>Not Applicable</v>
      </c>
      <c r="R103" s="56">
        <f>IF(INDEX('NZS O&amp;G and CA100'!$D$5:$D$193, MATCH($A103, 'NZS O&amp;G and CA100'!$B$5:$B$193, 0)) = "Alignment", INDEX('NZS O&amp;G and CA100'!$E$5:$N$193, MATCH($A103, 'NZS O&amp;G and CA100'!$B$5:$B$193, 0),MATCH(R$4, 'NZS O&amp;G and CA100'!$E$3:$N$3, 0)),"")</f>
        <v>0</v>
      </c>
      <c r="S103" s="56">
        <f>IF(INDEX('NZS O&amp;G and CA100'!$D$5:$D$193, MATCH($A103, 'NZS O&amp;G and CA100'!$B$5:$B$193, 0)) = "Alignment", INDEX('NZS O&amp;G and CA100'!$E$5:$N$193, MATCH($A103, 'NZS O&amp;G and CA100'!$B$5:$B$193, 0),MATCH(S$4, 'NZS O&amp;G and CA100'!$E$3:$N$3, 0)),"")</f>
        <v>0</v>
      </c>
      <c r="T103" s="56">
        <f>IF(INDEX('NZS O&amp;G and CA100'!$D$5:$D$193, MATCH($A103, 'NZS O&amp;G and CA100'!$B$5:$B$193, 0)) = "Alignment", INDEX('NZS O&amp;G and CA100'!$E$5:$N$193, MATCH($A103, 'NZS O&amp;G and CA100'!$B$5:$B$193, 0),MATCH(T$4, 'NZS O&amp;G and CA100'!$E$3:$N$3, 0)),"")</f>
        <v>0</v>
      </c>
      <c r="U103" s="56">
        <f>IF(INDEX('NZS O&amp;G and CA100'!$D$5:$D$193, MATCH($A103, 'NZS O&amp;G and CA100'!$B$5:$B$193, 0)) = "Alignment", INDEX('NZS O&amp;G and CA100'!$E$5:$N$193, MATCH($A103, 'NZS O&amp;G and CA100'!$B$5:$B$193, 0),MATCH(U$4, 'NZS O&amp;G and CA100'!$E$3:$N$3, 0)),"")</f>
        <v>0</v>
      </c>
      <c r="V103" s="56" t="str">
        <f>IF(INDEX('NZS O&amp;G and CA100'!$D$5:$D$193, MATCH($A103, 'NZS O&amp;G and CA100'!$B$5:$B$193, 0)) = "Alignment", INDEX('NZS O&amp;G and CA100'!$E$5:$N$193, MATCH($A103, 'NZS O&amp;G and CA100'!$B$5:$B$193, 0),MATCH(V$4, 'NZS O&amp;G and CA100'!$E$3:$N$3, 0)),"")</f>
        <v>Not Applicable</v>
      </c>
      <c r="W103" s="56">
        <f>IF(INDEX('NZS O&amp;G and CA100'!$D$5:$D$193, MATCH($A103, 'NZS O&amp;G and CA100'!$B$5:$B$193, 0)) = "Alignment", INDEX('NZS O&amp;G and CA100'!$E$5:$N$193, MATCH($A103, 'NZS O&amp;G and CA100'!$B$5:$B$193, 0),MATCH(L$3, 'NZS O&amp;G and CA100'!$E$3:$N$3, 0)),"")</f>
        <v>0</v>
      </c>
      <c r="X103" s="57" t="str">
        <f>IF(INDEX('NZS O&amp;G and CA100'!$D$5:$D$193, MATCH($A103, 'NZS O&amp;G and CA100'!$B$5:$B$193, 0)) = "Alignment", INDEX('NZS O&amp;G and CA100'!$E$5:$N$193, MATCH($A103, 'NZS O&amp;G and CA100'!$B$5:$B$193, 0),MATCH(M$3, 'NZS O&amp;G and CA100'!$E$3:$N$3, 0)),"")</f>
        <v>Not Applicable</v>
      </c>
      <c r="Z103" s="55"/>
      <c r="AA103" s="56"/>
      <c r="AB103" s="56"/>
      <c r="AC103" s="56"/>
      <c r="AD103" s="56"/>
      <c r="AE103" s="56"/>
      <c r="AF103" s="56"/>
      <c r="AG103" s="56"/>
      <c r="AH103" s="56"/>
      <c r="AI103" s="57"/>
      <c r="AK103" s="49"/>
      <c r="AL103" s="49"/>
      <c r="AM103" s="49"/>
      <c r="AN103" s="49"/>
      <c r="AO103" s="49"/>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row>
    <row r="104" spans="1:108" s="1" customFormat="1" ht="20.149999999999999" customHeight="1" outlineLevel="2">
      <c r="A104" s="302" t="s">
        <v>344</v>
      </c>
      <c r="B104" s="235" t="s">
        <v>158</v>
      </c>
      <c r="C104" s="236" t="str">
        <f>VLOOKUP(A104, 'NZS O&amp;G and CA100'!$B$7:$D$194, 3, FALSE)</f>
        <v>Disclosure</v>
      </c>
      <c r="D104" s="310">
        <f>IF(INDEX('NZS O&amp;G and CA100'!$D$5:$D$193, MATCH($A104, 'NZS O&amp;G and CA100'!$B$5:$B$193, 0)) =$B$4, INDEX('NZS O&amp;G and CA100'!$E$5:$N$193, MATCH($A104, 'NZS O&amp;G and CA100'!$B$5:$B$193, 0),MATCH(D$3, 'NZS O&amp;G and CA100'!$E$3:$N$3, 0)),"")</f>
        <v>0</v>
      </c>
      <c r="E104" s="311">
        <f>IF(INDEX('NZS O&amp;G and CA100'!$D$5:$D$193, MATCH($A104, 'NZS O&amp;G and CA100'!$B$5:$B$193, 0)) =$B$4, INDEX('NZS O&amp;G and CA100'!$E$5:$N$193, MATCH($A104, 'NZS O&amp;G and CA100'!$B$5:$B$193, 0),MATCH(E$3, 'NZS O&amp;G and CA100'!$E$3:$N$3, 0)),"")</f>
        <v>0</v>
      </c>
      <c r="F104" s="311">
        <f>IF(INDEX('NZS O&amp;G and CA100'!$D$5:$D$193, MATCH($A104, 'NZS O&amp;G and CA100'!$B$5:$B$193, 0)) =$B$4, INDEX('NZS O&amp;G and CA100'!$E$5:$N$193, MATCH($A104, 'NZS O&amp;G and CA100'!$B$5:$B$193, 0),MATCH(F$3, 'NZS O&amp;G and CA100'!$E$3:$N$3, 0)),"")</f>
        <v>0</v>
      </c>
      <c r="G104" s="311">
        <f>IF(INDEX('NZS O&amp;G and CA100'!$D$5:$D$193, MATCH($A104, 'NZS O&amp;G and CA100'!$B$5:$B$193, 0)) =$B$4, INDEX('NZS O&amp;G and CA100'!$E$5:$N$193, MATCH($A104, 'NZS O&amp;G and CA100'!$B$5:$B$193, 0),MATCH(G$3, 'NZS O&amp;G and CA100'!$E$3:$N$3, 0)),"")</f>
        <v>0</v>
      </c>
      <c r="H104" s="311">
        <f>IF(INDEX('NZS O&amp;G and CA100'!$D$5:$D$193, MATCH($A104, 'NZS O&amp;G and CA100'!$B$5:$B$193, 0)) =$B$4, INDEX('NZS O&amp;G and CA100'!$E$5:$N$193, MATCH($A104, 'NZS O&amp;G and CA100'!$B$5:$B$193, 0),MATCH(H$3, 'NZS O&amp;G and CA100'!$E$3:$N$3, 0)),"")</f>
        <v>0</v>
      </c>
      <c r="I104" s="311">
        <f>IF(INDEX('NZS O&amp;G and CA100'!$D$5:$D$193, MATCH($A104, 'NZS O&amp;G and CA100'!$B$5:$B$193, 0)) =$B$4, INDEX('NZS O&amp;G and CA100'!$E$5:$N$193, MATCH($A104, 'NZS O&amp;G and CA100'!$B$5:$B$193, 0),MATCH(I$3, 'NZS O&amp;G and CA100'!$E$3:$N$3, 0)),"")</f>
        <v>0</v>
      </c>
      <c r="J104" s="311">
        <f>IF(INDEX('NZS O&amp;G and CA100'!$D$5:$D$193, MATCH($A104, 'NZS O&amp;G and CA100'!$B$5:$B$193, 0)) =$B$4, INDEX('NZS O&amp;G and CA100'!$E$5:$N$193, MATCH($A104, 'NZS O&amp;G and CA100'!$B$5:$B$193, 0),MATCH(J$3, 'NZS O&amp;G and CA100'!$E$3:$N$3, 0)),"")</f>
        <v>0</v>
      </c>
      <c r="K104" s="311">
        <f>IF(INDEX('NZS O&amp;G and CA100'!$D$5:$D$193, MATCH($A104, 'NZS O&amp;G and CA100'!$B$5:$B$193, 0)) =$B$4, INDEX('NZS O&amp;G and CA100'!$E$5:$N$193, MATCH($A104, 'NZS O&amp;G and CA100'!$B$5:$B$193, 0),MATCH(K$3, 'NZS O&amp;G and CA100'!$E$3:$N$3, 0)),"")</f>
        <v>0</v>
      </c>
      <c r="L104" s="311">
        <f>IF(INDEX('NZS O&amp;G and CA100'!$D$5:$D$193, MATCH($A104, 'NZS O&amp;G and CA100'!$B$5:$B$193, 0)) =$B$4, INDEX('NZS O&amp;G and CA100'!$E$5:$N$193, MATCH($A104, 'NZS O&amp;G and CA100'!$B$5:$B$193, 0),MATCH(L$3, 'NZS O&amp;G and CA100'!$E$3:$N$3, 0)),"")</f>
        <v>0</v>
      </c>
      <c r="M104" s="312">
        <f>IF(INDEX('NZS O&amp;G and CA100'!$D$5:$D$193, MATCH($A104, 'NZS O&amp;G and CA100'!$B$5:$B$193, 0)) =$B$4, INDEX('NZS O&amp;G and CA100'!$E$5:$N$193, MATCH($A104, 'NZS O&amp;G and CA100'!$B$5:$B$193, 0),MATCH(M$3, 'NZS O&amp;G and CA100'!$E$3:$N$3, 0)),"")</f>
        <v>0</v>
      </c>
      <c r="O104" s="55" t="str">
        <f>IF(INDEX('NZS O&amp;G and CA100'!$D$5:$D$193, MATCH($A104, 'NZS O&amp;G and CA100'!$B$5:$B$193, 0)) = "Alignment", INDEX('NZS O&amp;G and CA100'!$E$5:$N$193, MATCH($A104, 'NZS O&amp;G and CA100'!$B$5:$B$193, 0),MATCH(O$4, 'NZS O&amp;G and CA100'!$E$3:$N$3, 0)),"")</f>
        <v/>
      </c>
      <c r="P104" s="56" t="str">
        <f>IF(INDEX('NZS O&amp;G and CA100'!$D$5:$D$193, MATCH($A104, 'NZS O&amp;G and CA100'!$B$5:$B$193, 0)) = "Alignment", INDEX('NZS O&amp;G and CA100'!$E$5:$N$193, MATCH($A104, 'NZS O&amp;G and CA100'!$B$5:$B$193, 0),MATCH(P$4, 'NZS O&amp;G and CA100'!$E$3:$N$3, 0)),"")</f>
        <v/>
      </c>
      <c r="Q104" s="56" t="str">
        <f>IF(INDEX('NZS O&amp;G and CA100'!$D$5:$D$193, MATCH($A104, 'NZS O&amp;G and CA100'!$B$5:$B$193, 0)) = "Alignment", INDEX('NZS O&amp;G and CA100'!$E$5:$N$193, MATCH($A104, 'NZS O&amp;G and CA100'!$B$5:$B$193, 0),MATCH(Q$4, 'NZS O&amp;G and CA100'!$E$3:$N$3, 0)),"")</f>
        <v/>
      </c>
      <c r="R104" s="56" t="str">
        <f>IF(INDEX('NZS O&amp;G and CA100'!$D$5:$D$193, MATCH($A104, 'NZS O&amp;G and CA100'!$B$5:$B$193, 0)) = "Alignment", INDEX('NZS O&amp;G and CA100'!$E$5:$N$193, MATCH($A104, 'NZS O&amp;G and CA100'!$B$5:$B$193, 0),MATCH(R$4, 'NZS O&amp;G and CA100'!$E$3:$N$3, 0)),"")</f>
        <v/>
      </c>
      <c r="S104" s="56" t="str">
        <f>IF(INDEX('NZS O&amp;G and CA100'!$D$5:$D$193, MATCH($A104, 'NZS O&amp;G and CA100'!$B$5:$B$193, 0)) = "Alignment", INDEX('NZS O&amp;G and CA100'!$E$5:$N$193, MATCH($A104, 'NZS O&amp;G and CA100'!$B$5:$B$193, 0),MATCH(S$4, 'NZS O&amp;G and CA100'!$E$3:$N$3, 0)),"")</f>
        <v/>
      </c>
      <c r="T104" s="56" t="str">
        <f>IF(INDEX('NZS O&amp;G and CA100'!$D$5:$D$193, MATCH($A104, 'NZS O&amp;G and CA100'!$B$5:$B$193, 0)) = "Alignment", INDEX('NZS O&amp;G and CA100'!$E$5:$N$193, MATCH($A104, 'NZS O&amp;G and CA100'!$B$5:$B$193, 0),MATCH(T$4, 'NZS O&amp;G and CA100'!$E$3:$N$3, 0)),"")</f>
        <v/>
      </c>
      <c r="U104" s="56" t="str">
        <f>IF(INDEX('NZS O&amp;G and CA100'!$D$5:$D$193, MATCH($A104, 'NZS O&amp;G and CA100'!$B$5:$B$193, 0)) = "Alignment", INDEX('NZS O&amp;G and CA100'!$E$5:$N$193, MATCH($A104, 'NZS O&amp;G and CA100'!$B$5:$B$193, 0),MATCH(U$4, 'NZS O&amp;G and CA100'!$E$3:$N$3, 0)),"")</f>
        <v/>
      </c>
      <c r="V104" s="56" t="str">
        <f>IF(INDEX('NZS O&amp;G and CA100'!$D$5:$D$193, MATCH($A104, 'NZS O&amp;G and CA100'!$B$5:$B$193, 0)) = "Alignment", INDEX('NZS O&amp;G and CA100'!$E$5:$N$193, MATCH($A104, 'NZS O&amp;G and CA100'!$B$5:$B$193, 0),MATCH(V$4, 'NZS O&amp;G and CA100'!$E$3:$N$3, 0)),"")</f>
        <v/>
      </c>
      <c r="W104" s="56" t="str">
        <f>IF(INDEX('NZS O&amp;G and CA100'!$D$5:$D$193, MATCH($A104, 'NZS O&amp;G and CA100'!$B$5:$B$193, 0)) = "Alignment", INDEX('NZS O&amp;G and CA100'!$E$5:$N$193, MATCH($A104, 'NZS O&amp;G and CA100'!$B$5:$B$193, 0),MATCH(L$3, 'NZS O&amp;G and CA100'!$E$3:$N$3, 0)),"")</f>
        <v/>
      </c>
      <c r="X104" s="57" t="str">
        <f>IF(INDEX('NZS O&amp;G and CA100'!$D$5:$D$193, MATCH($A104, 'NZS O&amp;G and CA100'!$B$5:$B$193, 0)) = "Alignment", INDEX('NZS O&amp;G and CA100'!$E$5:$N$193, MATCH($A104, 'NZS O&amp;G and CA100'!$B$5:$B$193, 0),MATCH(M$3, 'NZS O&amp;G and CA100'!$E$3:$N$3, 0)),"")</f>
        <v/>
      </c>
      <c r="Z104" s="55"/>
      <c r="AA104" s="56"/>
      <c r="AB104" s="56"/>
      <c r="AC104" s="56"/>
      <c r="AD104" s="56"/>
      <c r="AE104" s="56"/>
      <c r="AF104" s="56"/>
      <c r="AG104" s="56"/>
      <c r="AH104" s="56"/>
      <c r="AI104" s="57"/>
      <c r="AK104" s="49"/>
      <c r="AL104" s="49"/>
      <c r="AM104" s="49"/>
      <c r="AN104" s="49"/>
      <c r="AO104" s="49"/>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row>
    <row r="105" spans="1:108" s="1" customFormat="1" ht="20.149999999999999" customHeight="1" outlineLevel="2">
      <c r="A105" s="302" t="s">
        <v>345</v>
      </c>
      <c r="B105" s="235" t="s">
        <v>159</v>
      </c>
      <c r="C105" s="236" t="str">
        <f>VLOOKUP(A105, 'NZS O&amp;G and CA100'!$B$7:$D$194, 3, FALSE)</f>
        <v>Disclosure</v>
      </c>
      <c r="D105" s="310">
        <f>IF(INDEX('NZS O&amp;G and CA100'!$D$5:$D$193, MATCH($A105, 'NZS O&amp;G and CA100'!$B$5:$B$193, 0)) =$B$4, INDEX('NZS O&amp;G and CA100'!$E$5:$N$193, MATCH($A105, 'NZS O&amp;G and CA100'!$B$5:$B$193, 0),MATCH(D$3, 'NZS O&amp;G and CA100'!$E$3:$N$3, 0)),"")</f>
        <v>0</v>
      </c>
      <c r="E105" s="311">
        <f>IF(INDEX('NZS O&amp;G and CA100'!$D$5:$D$193, MATCH($A105, 'NZS O&amp;G and CA100'!$B$5:$B$193, 0)) =$B$4, INDEX('NZS O&amp;G and CA100'!$E$5:$N$193, MATCH($A105, 'NZS O&amp;G and CA100'!$B$5:$B$193, 0),MATCH(E$3, 'NZS O&amp;G and CA100'!$E$3:$N$3, 0)),"")</f>
        <v>0</v>
      </c>
      <c r="F105" s="311">
        <f>IF(INDEX('NZS O&amp;G and CA100'!$D$5:$D$193, MATCH($A105, 'NZS O&amp;G and CA100'!$B$5:$B$193, 0)) =$B$4, INDEX('NZS O&amp;G and CA100'!$E$5:$N$193, MATCH($A105, 'NZS O&amp;G and CA100'!$B$5:$B$193, 0),MATCH(F$3, 'NZS O&amp;G and CA100'!$E$3:$N$3, 0)),"")</f>
        <v>0</v>
      </c>
      <c r="G105" s="311">
        <f>IF(INDEX('NZS O&amp;G and CA100'!$D$5:$D$193, MATCH($A105, 'NZS O&amp;G and CA100'!$B$5:$B$193, 0)) =$B$4, INDEX('NZS O&amp;G and CA100'!$E$5:$N$193, MATCH($A105, 'NZS O&amp;G and CA100'!$B$5:$B$193, 0),MATCH(G$3, 'NZS O&amp;G and CA100'!$E$3:$N$3, 0)),"")</f>
        <v>0</v>
      </c>
      <c r="H105" s="311">
        <f>IF(INDEX('NZS O&amp;G and CA100'!$D$5:$D$193, MATCH($A105, 'NZS O&amp;G and CA100'!$B$5:$B$193, 0)) =$B$4, INDEX('NZS O&amp;G and CA100'!$E$5:$N$193, MATCH($A105, 'NZS O&amp;G and CA100'!$B$5:$B$193, 0),MATCH(H$3, 'NZS O&amp;G and CA100'!$E$3:$N$3, 0)),"")</f>
        <v>0</v>
      </c>
      <c r="I105" s="311">
        <f>IF(INDEX('NZS O&amp;G and CA100'!$D$5:$D$193, MATCH($A105, 'NZS O&amp;G and CA100'!$B$5:$B$193, 0)) =$B$4, INDEX('NZS O&amp;G and CA100'!$E$5:$N$193, MATCH($A105, 'NZS O&amp;G and CA100'!$B$5:$B$193, 0),MATCH(I$3, 'NZS O&amp;G and CA100'!$E$3:$N$3, 0)),"")</f>
        <v>0</v>
      </c>
      <c r="J105" s="311">
        <f>IF(INDEX('NZS O&amp;G and CA100'!$D$5:$D$193, MATCH($A105, 'NZS O&amp;G and CA100'!$B$5:$B$193, 0)) =$B$4, INDEX('NZS O&amp;G and CA100'!$E$5:$N$193, MATCH($A105, 'NZS O&amp;G and CA100'!$B$5:$B$193, 0),MATCH(J$3, 'NZS O&amp;G and CA100'!$E$3:$N$3, 0)),"")</f>
        <v>0</v>
      </c>
      <c r="K105" s="311">
        <f>IF(INDEX('NZS O&amp;G and CA100'!$D$5:$D$193, MATCH($A105, 'NZS O&amp;G and CA100'!$B$5:$B$193, 0)) =$B$4, INDEX('NZS O&amp;G and CA100'!$E$5:$N$193, MATCH($A105, 'NZS O&amp;G and CA100'!$B$5:$B$193, 0),MATCH(K$3, 'NZS O&amp;G and CA100'!$E$3:$N$3, 0)),"")</f>
        <v>0</v>
      </c>
      <c r="L105" s="311">
        <f>IF(INDEX('NZS O&amp;G and CA100'!$D$5:$D$193, MATCH($A105, 'NZS O&amp;G and CA100'!$B$5:$B$193, 0)) =$B$4, INDEX('NZS O&amp;G and CA100'!$E$5:$N$193, MATCH($A105, 'NZS O&amp;G and CA100'!$B$5:$B$193, 0),MATCH(L$3, 'NZS O&amp;G and CA100'!$E$3:$N$3, 0)),"")</f>
        <v>0</v>
      </c>
      <c r="M105" s="312">
        <f>IF(INDEX('NZS O&amp;G and CA100'!$D$5:$D$193, MATCH($A105, 'NZS O&amp;G and CA100'!$B$5:$B$193, 0)) =$B$4, INDEX('NZS O&amp;G and CA100'!$E$5:$N$193, MATCH($A105, 'NZS O&amp;G and CA100'!$B$5:$B$193, 0),MATCH(M$3, 'NZS O&amp;G and CA100'!$E$3:$N$3, 0)),"")</f>
        <v>1</v>
      </c>
      <c r="O105" s="55" t="str">
        <f>IF(INDEX('NZS O&amp;G and CA100'!$D$5:$D$193, MATCH($A105, 'NZS O&amp;G and CA100'!$B$5:$B$193, 0)) = "Alignment", INDEX('NZS O&amp;G and CA100'!$E$5:$N$193, MATCH($A105, 'NZS O&amp;G and CA100'!$B$5:$B$193, 0),MATCH(O$4, 'NZS O&amp;G and CA100'!$E$3:$N$3, 0)),"")</f>
        <v/>
      </c>
      <c r="P105" s="56" t="str">
        <f>IF(INDEX('NZS O&amp;G and CA100'!$D$5:$D$193, MATCH($A105, 'NZS O&amp;G and CA100'!$B$5:$B$193, 0)) = "Alignment", INDEX('NZS O&amp;G and CA100'!$E$5:$N$193, MATCH($A105, 'NZS O&amp;G and CA100'!$B$5:$B$193, 0),MATCH(P$4, 'NZS O&amp;G and CA100'!$E$3:$N$3, 0)),"")</f>
        <v/>
      </c>
      <c r="Q105" s="56" t="str">
        <f>IF(INDEX('NZS O&amp;G and CA100'!$D$5:$D$193, MATCH($A105, 'NZS O&amp;G and CA100'!$B$5:$B$193, 0)) = "Alignment", INDEX('NZS O&amp;G and CA100'!$E$5:$N$193, MATCH($A105, 'NZS O&amp;G and CA100'!$B$5:$B$193, 0),MATCH(Q$4, 'NZS O&amp;G and CA100'!$E$3:$N$3, 0)),"")</f>
        <v/>
      </c>
      <c r="R105" s="56" t="str">
        <f>IF(INDEX('NZS O&amp;G and CA100'!$D$5:$D$193, MATCH($A105, 'NZS O&amp;G and CA100'!$B$5:$B$193, 0)) = "Alignment", INDEX('NZS O&amp;G and CA100'!$E$5:$N$193, MATCH($A105, 'NZS O&amp;G and CA100'!$B$5:$B$193, 0),MATCH(R$4, 'NZS O&amp;G and CA100'!$E$3:$N$3, 0)),"")</f>
        <v/>
      </c>
      <c r="S105" s="56" t="str">
        <f>IF(INDEX('NZS O&amp;G and CA100'!$D$5:$D$193, MATCH($A105, 'NZS O&amp;G and CA100'!$B$5:$B$193, 0)) = "Alignment", INDEX('NZS O&amp;G and CA100'!$E$5:$N$193, MATCH($A105, 'NZS O&amp;G and CA100'!$B$5:$B$193, 0),MATCH(S$4, 'NZS O&amp;G and CA100'!$E$3:$N$3, 0)),"")</f>
        <v/>
      </c>
      <c r="T105" s="56" t="str">
        <f>IF(INDEX('NZS O&amp;G and CA100'!$D$5:$D$193, MATCH($A105, 'NZS O&amp;G and CA100'!$B$5:$B$193, 0)) = "Alignment", INDEX('NZS O&amp;G and CA100'!$E$5:$N$193, MATCH($A105, 'NZS O&amp;G and CA100'!$B$5:$B$193, 0),MATCH(T$4, 'NZS O&amp;G and CA100'!$E$3:$N$3, 0)),"")</f>
        <v/>
      </c>
      <c r="U105" s="56" t="str">
        <f>IF(INDEX('NZS O&amp;G and CA100'!$D$5:$D$193, MATCH($A105, 'NZS O&amp;G and CA100'!$B$5:$B$193, 0)) = "Alignment", INDEX('NZS O&amp;G and CA100'!$E$5:$N$193, MATCH($A105, 'NZS O&amp;G and CA100'!$B$5:$B$193, 0),MATCH(U$4, 'NZS O&amp;G and CA100'!$E$3:$N$3, 0)),"")</f>
        <v/>
      </c>
      <c r="V105" s="56" t="str">
        <f>IF(INDEX('NZS O&amp;G and CA100'!$D$5:$D$193, MATCH($A105, 'NZS O&amp;G and CA100'!$B$5:$B$193, 0)) = "Alignment", INDEX('NZS O&amp;G and CA100'!$E$5:$N$193, MATCH($A105, 'NZS O&amp;G and CA100'!$B$5:$B$193, 0),MATCH(V$4, 'NZS O&amp;G and CA100'!$E$3:$N$3, 0)),"")</f>
        <v/>
      </c>
      <c r="W105" s="56" t="str">
        <f>IF(INDEX('NZS O&amp;G and CA100'!$D$5:$D$193, MATCH($A105, 'NZS O&amp;G and CA100'!$B$5:$B$193, 0)) = "Alignment", INDEX('NZS O&amp;G and CA100'!$E$5:$N$193, MATCH($A105, 'NZS O&amp;G and CA100'!$B$5:$B$193, 0),MATCH(L$3, 'NZS O&amp;G and CA100'!$E$3:$N$3, 0)),"")</f>
        <v/>
      </c>
      <c r="X105" s="57" t="str">
        <f>IF(INDEX('NZS O&amp;G and CA100'!$D$5:$D$193, MATCH($A105, 'NZS O&amp;G and CA100'!$B$5:$B$193, 0)) = "Alignment", INDEX('NZS O&amp;G and CA100'!$E$5:$N$193, MATCH($A105, 'NZS O&amp;G and CA100'!$B$5:$B$193, 0),MATCH(M$3, 'NZS O&amp;G and CA100'!$E$3:$N$3, 0)),"")</f>
        <v/>
      </c>
      <c r="Z105" s="55"/>
      <c r="AA105" s="56"/>
      <c r="AB105" s="56"/>
      <c r="AC105" s="56"/>
      <c r="AD105" s="56"/>
      <c r="AE105" s="56"/>
      <c r="AF105" s="56"/>
      <c r="AG105" s="56"/>
      <c r="AH105" s="56"/>
      <c r="AI105" s="57"/>
      <c r="AK105" s="49"/>
      <c r="AL105" s="49"/>
      <c r="AM105" s="49"/>
      <c r="AN105" s="49"/>
      <c r="AO105" s="49"/>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row>
    <row r="106" spans="1:108" s="1" customFormat="1" ht="20.149999999999999" customHeight="1" outlineLevel="2">
      <c r="A106" s="302" t="s">
        <v>346</v>
      </c>
      <c r="B106" s="235" t="s">
        <v>160</v>
      </c>
      <c r="C106" s="236" t="str">
        <f>VLOOKUP(A106, 'NZS O&amp;G and CA100'!$B$7:$D$194, 3, FALSE)</f>
        <v>Alignment</v>
      </c>
      <c r="D106" s="310" t="str">
        <f>IF(INDEX('NZS O&amp;G and CA100'!$D$5:$D$193, MATCH($A106, 'NZS O&amp;G and CA100'!$B$5:$B$193, 0)) =$B$4, INDEX('NZS O&amp;G and CA100'!$E$5:$N$193, MATCH($A106, 'NZS O&amp;G and CA100'!$B$5:$B$193, 0),MATCH(D$3, 'NZS O&amp;G and CA100'!$E$3:$N$3, 0)),"")</f>
        <v/>
      </c>
      <c r="E106" s="311" t="str">
        <f>IF(INDEX('NZS O&amp;G and CA100'!$D$5:$D$193, MATCH($A106, 'NZS O&amp;G and CA100'!$B$5:$B$193, 0)) =$B$4, INDEX('NZS O&amp;G and CA100'!$E$5:$N$193, MATCH($A106, 'NZS O&amp;G and CA100'!$B$5:$B$193, 0),MATCH(E$3, 'NZS O&amp;G and CA100'!$E$3:$N$3, 0)),"")</f>
        <v/>
      </c>
      <c r="F106" s="311" t="str">
        <f>IF(INDEX('NZS O&amp;G and CA100'!$D$5:$D$193, MATCH($A106, 'NZS O&amp;G and CA100'!$B$5:$B$193, 0)) =$B$4, INDEX('NZS O&amp;G and CA100'!$E$5:$N$193, MATCH($A106, 'NZS O&amp;G and CA100'!$B$5:$B$193, 0),MATCH(F$3, 'NZS O&amp;G and CA100'!$E$3:$N$3, 0)),"")</f>
        <v/>
      </c>
      <c r="G106" s="311" t="str">
        <f>IF(INDEX('NZS O&amp;G and CA100'!$D$5:$D$193, MATCH($A106, 'NZS O&amp;G and CA100'!$B$5:$B$193, 0)) =$B$4, INDEX('NZS O&amp;G and CA100'!$E$5:$N$193, MATCH($A106, 'NZS O&amp;G and CA100'!$B$5:$B$193, 0),MATCH(G$3, 'NZS O&amp;G and CA100'!$E$3:$N$3, 0)),"")</f>
        <v/>
      </c>
      <c r="H106" s="311" t="str">
        <f>IF(INDEX('NZS O&amp;G and CA100'!$D$5:$D$193, MATCH($A106, 'NZS O&amp;G and CA100'!$B$5:$B$193, 0)) =$B$4, INDEX('NZS O&amp;G and CA100'!$E$5:$N$193, MATCH($A106, 'NZS O&amp;G and CA100'!$B$5:$B$193, 0),MATCH(H$3, 'NZS O&amp;G and CA100'!$E$3:$N$3, 0)),"")</f>
        <v/>
      </c>
      <c r="I106" s="311" t="str">
        <f>IF(INDEX('NZS O&amp;G and CA100'!$D$5:$D$193, MATCH($A106, 'NZS O&amp;G and CA100'!$B$5:$B$193, 0)) =$B$4, INDEX('NZS O&amp;G and CA100'!$E$5:$N$193, MATCH($A106, 'NZS O&amp;G and CA100'!$B$5:$B$193, 0),MATCH(I$3, 'NZS O&amp;G and CA100'!$E$3:$N$3, 0)),"")</f>
        <v/>
      </c>
      <c r="J106" s="311" t="str">
        <f>IF(INDEX('NZS O&amp;G and CA100'!$D$5:$D$193, MATCH($A106, 'NZS O&amp;G and CA100'!$B$5:$B$193, 0)) =$B$4, INDEX('NZS O&amp;G and CA100'!$E$5:$N$193, MATCH($A106, 'NZS O&amp;G and CA100'!$B$5:$B$193, 0),MATCH(J$3, 'NZS O&amp;G and CA100'!$E$3:$N$3, 0)),"")</f>
        <v/>
      </c>
      <c r="K106" s="311" t="str">
        <f>IF(INDEX('NZS O&amp;G and CA100'!$D$5:$D$193, MATCH($A106, 'NZS O&amp;G and CA100'!$B$5:$B$193, 0)) =$B$4, INDEX('NZS O&amp;G and CA100'!$E$5:$N$193, MATCH($A106, 'NZS O&amp;G and CA100'!$B$5:$B$193, 0),MATCH(K$3, 'NZS O&amp;G and CA100'!$E$3:$N$3, 0)),"")</f>
        <v/>
      </c>
      <c r="L106" s="311" t="str">
        <f>IF(INDEX('NZS O&amp;G and CA100'!$D$5:$D$193, MATCH($A106, 'NZS O&amp;G and CA100'!$B$5:$B$193, 0)) =$B$4, INDEX('NZS O&amp;G and CA100'!$E$5:$N$193, MATCH($A106, 'NZS O&amp;G and CA100'!$B$5:$B$193, 0),MATCH(L$3, 'NZS O&amp;G and CA100'!$E$3:$N$3, 0)),"")</f>
        <v/>
      </c>
      <c r="M106" s="312" t="str">
        <f>IF(INDEX('NZS O&amp;G and CA100'!$D$5:$D$193, MATCH($A106, 'NZS O&amp;G and CA100'!$B$5:$B$193, 0)) =$B$4, INDEX('NZS O&amp;G and CA100'!$E$5:$N$193, MATCH($A106, 'NZS O&amp;G and CA100'!$B$5:$B$193, 0),MATCH(M$3, 'NZS O&amp;G and CA100'!$E$3:$N$3, 0)),"")</f>
        <v/>
      </c>
      <c r="O106" s="185" t="str">
        <f>IF(INDEX('NZS O&amp;G and CA100'!$D$5:$D$193, MATCH($A106, 'NZS O&amp;G and CA100'!$B$5:$B$193, 0)) = "Alignment", INDEX('NZS O&amp;G and CA100'!$E$5:$N$193, MATCH($A106, 'NZS O&amp;G and CA100'!$B$5:$B$193, 0),MATCH(O$4, 'NZS O&amp;G and CA100'!$E$3:$N$3, 0)),"")</f>
        <v>Under development</v>
      </c>
      <c r="P106" s="186" t="str">
        <f>IF(INDEX('NZS O&amp;G and CA100'!$D$5:$D$193, MATCH($A106, 'NZS O&amp;G and CA100'!$B$5:$B$193, 0)) = "Alignment", INDEX('NZS O&amp;G and CA100'!$E$5:$N$193, MATCH($A106, 'NZS O&amp;G and CA100'!$B$5:$B$193, 0),MATCH(P$4, 'NZS O&amp;G and CA100'!$E$3:$N$3, 0)),"")</f>
        <v>Under development</v>
      </c>
      <c r="Q106" s="186" t="str">
        <f>IF(INDEX('NZS O&amp;G and CA100'!$D$5:$D$193, MATCH($A106, 'NZS O&amp;G and CA100'!$B$5:$B$193, 0)) = "Alignment", INDEX('NZS O&amp;G and CA100'!$E$5:$N$193, MATCH($A106, 'NZS O&amp;G and CA100'!$B$5:$B$193, 0),MATCH(Q$4, 'NZS O&amp;G and CA100'!$E$3:$N$3, 0)),"")</f>
        <v>Under development</v>
      </c>
      <c r="R106" s="186" t="str">
        <f>IF(INDEX('NZS O&amp;G and CA100'!$D$5:$D$193, MATCH($A106, 'NZS O&amp;G and CA100'!$B$5:$B$193, 0)) = "Alignment", INDEX('NZS O&amp;G and CA100'!$E$5:$N$193, MATCH($A106, 'NZS O&amp;G and CA100'!$B$5:$B$193, 0),MATCH(R$4, 'NZS O&amp;G and CA100'!$E$3:$N$3, 0)),"")</f>
        <v>Under development</v>
      </c>
      <c r="S106" s="186" t="str">
        <f>IF(INDEX('NZS O&amp;G and CA100'!$D$5:$D$193, MATCH($A106, 'NZS O&amp;G and CA100'!$B$5:$B$193, 0)) = "Alignment", INDEX('NZS O&amp;G and CA100'!$E$5:$N$193, MATCH($A106, 'NZS O&amp;G and CA100'!$B$5:$B$193, 0),MATCH(S$4, 'NZS O&amp;G and CA100'!$E$3:$N$3, 0)),"")</f>
        <v>Under development</v>
      </c>
      <c r="T106" s="186" t="str">
        <f>IF(INDEX('NZS O&amp;G and CA100'!$D$5:$D$193, MATCH($A106, 'NZS O&amp;G and CA100'!$B$5:$B$193, 0)) = "Alignment", INDEX('NZS O&amp;G and CA100'!$E$5:$N$193, MATCH($A106, 'NZS O&amp;G and CA100'!$B$5:$B$193, 0),MATCH(T$4, 'NZS O&amp;G and CA100'!$E$3:$N$3, 0)),"")</f>
        <v>Under development</v>
      </c>
      <c r="U106" s="186" t="str">
        <f>IF(INDEX('NZS O&amp;G and CA100'!$D$5:$D$193, MATCH($A106, 'NZS O&amp;G and CA100'!$B$5:$B$193, 0)) = "Alignment", INDEX('NZS O&amp;G and CA100'!$E$5:$N$193, MATCH($A106, 'NZS O&amp;G and CA100'!$B$5:$B$193, 0),MATCH(U$4, 'NZS O&amp;G and CA100'!$E$3:$N$3, 0)),"")</f>
        <v>Under development</v>
      </c>
      <c r="V106" s="186" t="str">
        <f>IF(INDEX('NZS O&amp;G and CA100'!$D$5:$D$193, MATCH($A106, 'NZS O&amp;G and CA100'!$B$5:$B$193, 0)) = "Alignment", INDEX('NZS O&amp;G and CA100'!$E$5:$N$193, MATCH($A106, 'NZS O&amp;G and CA100'!$B$5:$B$193, 0),MATCH(V$4, 'NZS O&amp;G and CA100'!$E$3:$N$3, 0)),"")</f>
        <v>Under development</v>
      </c>
      <c r="W106" s="186" t="str">
        <f>IF(INDEX('NZS O&amp;G and CA100'!$D$5:$D$193, MATCH($A106, 'NZS O&amp;G and CA100'!$B$5:$B$193, 0)) = "Alignment", INDEX('NZS O&amp;G and CA100'!$E$5:$N$193, MATCH($A106, 'NZS O&amp;G and CA100'!$B$5:$B$193, 0),MATCH(L$3, 'NZS O&amp;G and CA100'!$E$3:$N$3, 0)),"")</f>
        <v>Under development</v>
      </c>
      <c r="X106" s="187" t="str">
        <f>IF(INDEX('NZS O&amp;G and CA100'!$D$5:$D$193, MATCH($A106, 'NZS O&amp;G and CA100'!$B$5:$B$193, 0)) = "Alignment", INDEX('NZS O&amp;G and CA100'!$E$5:$N$193, MATCH($A106, 'NZS O&amp;G and CA100'!$B$5:$B$193, 0),MATCH(M$3, 'NZS O&amp;G and CA100'!$E$3:$N$3, 0)),"")</f>
        <v>Under development</v>
      </c>
      <c r="Z106" s="55"/>
      <c r="AA106" s="56"/>
      <c r="AB106" s="56"/>
      <c r="AC106" s="56"/>
      <c r="AD106" s="56"/>
      <c r="AE106" s="56"/>
      <c r="AF106" s="56"/>
      <c r="AG106" s="56"/>
      <c r="AH106" s="56"/>
      <c r="AI106" s="57"/>
      <c r="AK106" s="49"/>
      <c r="AL106" s="49"/>
      <c r="AM106" s="49"/>
      <c r="AN106" s="49"/>
      <c r="AO106" s="49"/>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row>
    <row r="107" spans="1:108" s="1" customFormat="1" ht="20.149999999999999" customHeight="1" outlineLevel="2">
      <c r="A107" s="302" t="s">
        <v>347</v>
      </c>
      <c r="B107" s="235" t="s">
        <v>161</v>
      </c>
      <c r="C107" s="236" t="str">
        <f>VLOOKUP(A107, 'NZS O&amp;G and CA100'!$B$7:$D$194, 3, FALSE)</f>
        <v>Disclosure</v>
      </c>
      <c r="D107" s="310">
        <f>IF(INDEX('NZS O&amp;G and CA100'!$D$5:$D$193, MATCH($A107, 'NZS O&amp;G and CA100'!$B$5:$B$193, 0)) =$B$4, INDEX('NZS O&amp;G and CA100'!$E$5:$N$193, MATCH($A107, 'NZS O&amp;G and CA100'!$B$5:$B$193, 0),MATCH(D$3, 'NZS O&amp;G and CA100'!$E$3:$N$3, 0)),"")</f>
        <v>0</v>
      </c>
      <c r="E107" s="311">
        <f>IF(INDEX('NZS O&amp;G and CA100'!$D$5:$D$193, MATCH($A107, 'NZS O&amp;G and CA100'!$B$5:$B$193, 0)) =$B$4, INDEX('NZS O&amp;G and CA100'!$E$5:$N$193, MATCH($A107, 'NZS O&amp;G and CA100'!$B$5:$B$193, 0),MATCH(E$3, 'NZS O&amp;G and CA100'!$E$3:$N$3, 0)),"")</f>
        <v>0</v>
      </c>
      <c r="F107" s="311">
        <f>IF(INDEX('NZS O&amp;G and CA100'!$D$5:$D$193, MATCH($A107, 'NZS O&amp;G and CA100'!$B$5:$B$193, 0)) =$B$4, INDEX('NZS O&amp;G and CA100'!$E$5:$N$193, MATCH($A107, 'NZS O&amp;G and CA100'!$B$5:$B$193, 0),MATCH(F$3, 'NZS O&amp;G and CA100'!$E$3:$N$3, 0)),"")</f>
        <v>0</v>
      </c>
      <c r="G107" s="311">
        <f>IF(INDEX('NZS O&amp;G and CA100'!$D$5:$D$193, MATCH($A107, 'NZS O&amp;G and CA100'!$B$5:$B$193, 0)) =$B$4, INDEX('NZS O&amp;G and CA100'!$E$5:$N$193, MATCH($A107, 'NZS O&amp;G and CA100'!$B$5:$B$193, 0),MATCH(G$3, 'NZS O&amp;G and CA100'!$E$3:$N$3, 0)),"")</f>
        <v>0</v>
      </c>
      <c r="H107" s="311">
        <f>IF(INDEX('NZS O&amp;G and CA100'!$D$5:$D$193, MATCH($A107, 'NZS O&amp;G and CA100'!$B$5:$B$193, 0)) =$B$4, INDEX('NZS O&amp;G and CA100'!$E$5:$N$193, MATCH($A107, 'NZS O&amp;G and CA100'!$B$5:$B$193, 0),MATCH(H$3, 'NZS O&amp;G and CA100'!$E$3:$N$3, 0)),"")</f>
        <v>0</v>
      </c>
      <c r="I107" s="311">
        <f>IF(INDEX('NZS O&amp;G and CA100'!$D$5:$D$193, MATCH($A107, 'NZS O&amp;G and CA100'!$B$5:$B$193, 0)) =$B$4, INDEX('NZS O&amp;G and CA100'!$E$5:$N$193, MATCH($A107, 'NZS O&amp;G and CA100'!$B$5:$B$193, 0),MATCH(I$3, 'NZS O&amp;G and CA100'!$E$3:$N$3, 0)),"")</f>
        <v>0</v>
      </c>
      <c r="J107" s="311">
        <f>IF(INDEX('NZS O&amp;G and CA100'!$D$5:$D$193, MATCH($A107, 'NZS O&amp;G and CA100'!$B$5:$B$193, 0)) =$B$4, INDEX('NZS O&amp;G and CA100'!$E$5:$N$193, MATCH($A107, 'NZS O&amp;G and CA100'!$B$5:$B$193, 0),MATCH(J$3, 'NZS O&amp;G and CA100'!$E$3:$N$3, 0)),"")</f>
        <v>0</v>
      </c>
      <c r="K107" s="311">
        <f>IF(INDEX('NZS O&amp;G and CA100'!$D$5:$D$193, MATCH($A107, 'NZS O&amp;G and CA100'!$B$5:$B$193, 0)) =$B$4, INDEX('NZS O&amp;G and CA100'!$E$5:$N$193, MATCH($A107, 'NZS O&amp;G and CA100'!$B$5:$B$193, 0),MATCH(K$3, 'NZS O&amp;G and CA100'!$E$3:$N$3, 0)),"")</f>
        <v>0</v>
      </c>
      <c r="L107" s="311">
        <f>IF(INDEX('NZS O&amp;G and CA100'!$D$5:$D$193, MATCH($A107, 'NZS O&amp;G and CA100'!$B$5:$B$193, 0)) =$B$4, INDEX('NZS O&amp;G and CA100'!$E$5:$N$193, MATCH($A107, 'NZS O&amp;G and CA100'!$B$5:$B$193, 0),MATCH(L$3, 'NZS O&amp;G and CA100'!$E$3:$N$3, 0)),"")</f>
        <v>0</v>
      </c>
      <c r="M107" s="312">
        <f>IF(INDEX('NZS O&amp;G and CA100'!$D$5:$D$193, MATCH($A107, 'NZS O&amp;G and CA100'!$B$5:$B$193, 0)) =$B$4, INDEX('NZS O&amp;G and CA100'!$E$5:$N$193, MATCH($A107, 'NZS O&amp;G and CA100'!$B$5:$B$193, 0),MATCH(M$3, 'NZS O&amp;G and CA100'!$E$3:$N$3, 0)),"")</f>
        <v>0</v>
      </c>
      <c r="O107" s="55" t="str">
        <f>IF(INDEX('NZS O&amp;G and CA100'!$D$5:$D$193, MATCH($A107, 'NZS O&amp;G and CA100'!$B$5:$B$193, 0)) = "Alignment", INDEX('NZS O&amp;G and CA100'!$E$5:$N$193, MATCH($A107, 'NZS O&amp;G and CA100'!$B$5:$B$193, 0),MATCH(O$4, 'NZS O&amp;G and CA100'!$E$3:$N$3, 0)),"")</f>
        <v/>
      </c>
      <c r="P107" s="56" t="str">
        <f>IF(INDEX('NZS O&amp;G and CA100'!$D$5:$D$193, MATCH($A107, 'NZS O&amp;G and CA100'!$B$5:$B$193, 0)) = "Alignment", INDEX('NZS O&amp;G and CA100'!$E$5:$N$193, MATCH($A107, 'NZS O&amp;G and CA100'!$B$5:$B$193, 0),MATCH(P$4, 'NZS O&amp;G and CA100'!$E$3:$N$3, 0)),"")</f>
        <v/>
      </c>
      <c r="Q107" s="56" t="str">
        <f>IF(INDEX('NZS O&amp;G and CA100'!$D$5:$D$193, MATCH($A107, 'NZS O&amp;G and CA100'!$B$5:$B$193, 0)) = "Alignment", INDEX('NZS O&amp;G and CA100'!$E$5:$N$193, MATCH($A107, 'NZS O&amp;G and CA100'!$B$5:$B$193, 0),MATCH(Q$4, 'NZS O&amp;G and CA100'!$E$3:$N$3, 0)),"")</f>
        <v/>
      </c>
      <c r="R107" s="56" t="str">
        <f>IF(INDEX('NZS O&amp;G and CA100'!$D$5:$D$193, MATCH($A107, 'NZS O&amp;G and CA100'!$B$5:$B$193, 0)) = "Alignment", INDEX('NZS O&amp;G and CA100'!$E$5:$N$193, MATCH($A107, 'NZS O&amp;G and CA100'!$B$5:$B$193, 0),MATCH(R$4, 'NZS O&amp;G and CA100'!$E$3:$N$3, 0)),"")</f>
        <v/>
      </c>
      <c r="S107" s="56" t="str">
        <f>IF(INDEX('NZS O&amp;G and CA100'!$D$5:$D$193, MATCH($A107, 'NZS O&amp;G and CA100'!$B$5:$B$193, 0)) = "Alignment", INDEX('NZS O&amp;G and CA100'!$E$5:$N$193, MATCH($A107, 'NZS O&amp;G and CA100'!$B$5:$B$193, 0),MATCH(S$4, 'NZS O&amp;G and CA100'!$E$3:$N$3, 0)),"")</f>
        <v/>
      </c>
      <c r="T107" s="56" t="str">
        <f>IF(INDEX('NZS O&amp;G and CA100'!$D$5:$D$193, MATCH($A107, 'NZS O&amp;G and CA100'!$B$5:$B$193, 0)) = "Alignment", INDEX('NZS O&amp;G and CA100'!$E$5:$N$193, MATCH($A107, 'NZS O&amp;G and CA100'!$B$5:$B$193, 0),MATCH(T$4, 'NZS O&amp;G and CA100'!$E$3:$N$3, 0)),"")</f>
        <v/>
      </c>
      <c r="U107" s="56" t="str">
        <f>IF(INDEX('NZS O&amp;G and CA100'!$D$5:$D$193, MATCH($A107, 'NZS O&amp;G and CA100'!$B$5:$B$193, 0)) = "Alignment", INDEX('NZS O&amp;G and CA100'!$E$5:$N$193, MATCH($A107, 'NZS O&amp;G and CA100'!$B$5:$B$193, 0),MATCH(U$4, 'NZS O&amp;G and CA100'!$E$3:$N$3, 0)),"")</f>
        <v/>
      </c>
      <c r="V107" s="56" t="str">
        <f>IF(INDEX('NZS O&amp;G and CA100'!$D$5:$D$193, MATCH($A107, 'NZS O&amp;G and CA100'!$B$5:$B$193, 0)) = "Alignment", INDEX('NZS O&amp;G and CA100'!$E$5:$N$193, MATCH($A107, 'NZS O&amp;G and CA100'!$B$5:$B$193, 0),MATCH(V$4, 'NZS O&amp;G and CA100'!$E$3:$N$3, 0)),"")</f>
        <v/>
      </c>
      <c r="W107" s="56" t="str">
        <f>IF(INDEX('NZS O&amp;G and CA100'!$D$5:$D$193, MATCH($A107, 'NZS O&amp;G and CA100'!$B$5:$B$193, 0)) = "Alignment", INDEX('NZS O&amp;G and CA100'!$E$5:$N$193, MATCH($A107, 'NZS O&amp;G and CA100'!$B$5:$B$193, 0),MATCH(L$3, 'NZS O&amp;G and CA100'!$E$3:$N$3, 0)),"")</f>
        <v/>
      </c>
      <c r="X107" s="57" t="str">
        <f>IF(INDEX('NZS O&amp;G and CA100'!$D$5:$D$193, MATCH($A107, 'NZS O&amp;G and CA100'!$B$5:$B$193, 0)) = "Alignment", INDEX('NZS O&amp;G and CA100'!$E$5:$N$193, MATCH($A107, 'NZS O&amp;G and CA100'!$B$5:$B$193, 0),MATCH(M$3, 'NZS O&amp;G and CA100'!$E$3:$N$3, 0)),"")</f>
        <v/>
      </c>
      <c r="Z107" s="55"/>
      <c r="AA107" s="56"/>
      <c r="AB107" s="56"/>
      <c r="AC107" s="56"/>
      <c r="AD107" s="56"/>
      <c r="AE107" s="56"/>
      <c r="AF107" s="56"/>
      <c r="AG107" s="56"/>
      <c r="AH107" s="56"/>
      <c r="AI107" s="57"/>
      <c r="AK107" s="49"/>
      <c r="AL107" s="49"/>
      <c r="AM107" s="49"/>
      <c r="AN107" s="49"/>
      <c r="AO107" s="49"/>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row>
    <row r="108" spans="1:108" s="1" customFormat="1" ht="20.149999999999999" customHeight="1" outlineLevel="2">
      <c r="A108" s="302" t="s">
        <v>348</v>
      </c>
      <c r="B108" s="235" t="s">
        <v>162</v>
      </c>
      <c r="C108" s="236" t="str">
        <f>VLOOKUP(A108, 'NZS O&amp;G and CA100'!$B$7:$D$194, 3, FALSE)</f>
        <v>Alignment</v>
      </c>
      <c r="D108" s="310" t="str">
        <f>IF(INDEX('NZS O&amp;G and CA100'!$D$5:$D$193, MATCH($A108, 'NZS O&amp;G and CA100'!$B$5:$B$193, 0)) =$B$4, INDEX('NZS O&amp;G and CA100'!$E$5:$N$193, MATCH($A108, 'NZS O&amp;G and CA100'!$B$5:$B$193, 0),MATCH(D$3, 'NZS O&amp;G and CA100'!$E$3:$N$3, 0)),"")</f>
        <v/>
      </c>
      <c r="E108" s="311" t="str">
        <f>IF(INDEX('NZS O&amp;G and CA100'!$D$5:$D$193, MATCH($A108, 'NZS O&amp;G and CA100'!$B$5:$B$193, 0)) =$B$4, INDEX('NZS O&amp;G and CA100'!$E$5:$N$193, MATCH($A108, 'NZS O&amp;G and CA100'!$B$5:$B$193, 0),MATCH(E$3, 'NZS O&amp;G and CA100'!$E$3:$N$3, 0)),"")</f>
        <v/>
      </c>
      <c r="F108" s="311" t="str">
        <f>IF(INDEX('NZS O&amp;G and CA100'!$D$5:$D$193, MATCH($A108, 'NZS O&amp;G and CA100'!$B$5:$B$193, 0)) =$B$4, INDEX('NZS O&amp;G and CA100'!$E$5:$N$193, MATCH($A108, 'NZS O&amp;G and CA100'!$B$5:$B$193, 0),MATCH(F$3, 'NZS O&amp;G and CA100'!$E$3:$N$3, 0)),"")</f>
        <v/>
      </c>
      <c r="G108" s="311" t="str">
        <f>IF(INDEX('NZS O&amp;G and CA100'!$D$5:$D$193, MATCH($A108, 'NZS O&amp;G and CA100'!$B$5:$B$193, 0)) =$B$4, INDEX('NZS O&amp;G and CA100'!$E$5:$N$193, MATCH($A108, 'NZS O&amp;G and CA100'!$B$5:$B$193, 0),MATCH(G$3, 'NZS O&amp;G and CA100'!$E$3:$N$3, 0)),"")</f>
        <v/>
      </c>
      <c r="H108" s="311" t="str">
        <f>IF(INDEX('NZS O&amp;G and CA100'!$D$5:$D$193, MATCH($A108, 'NZS O&amp;G and CA100'!$B$5:$B$193, 0)) =$B$4, INDEX('NZS O&amp;G and CA100'!$E$5:$N$193, MATCH($A108, 'NZS O&amp;G and CA100'!$B$5:$B$193, 0),MATCH(H$3, 'NZS O&amp;G and CA100'!$E$3:$N$3, 0)),"")</f>
        <v/>
      </c>
      <c r="I108" s="311" t="str">
        <f>IF(INDEX('NZS O&amp;G and CA100'!$D$5:$D$193, MATCH($A108, 'NZS O&amp;G and CA100'!$B$5:$B$193, 0)) =$B$4, INDEX('NZS O&amp;G and CA100'!$E$5:$N$193, MATCH($A108, 'NZS O&amp;G and CA100'!$B$5:$B$193, 0),MATCH(I$3, 'NZS O&amp;G and CA100'!$E$3:$N$3, 0)),"")</f>
        <v/>
      </c>
      <c r="J108" s="311" t="str">
        <f>IF(INDEX('NZS O&amp;G and CA100'!$D$5:$D$193, MATCH($A108, 'NZS O&amp;G and CA100'!$B$5:$B$193, 0)) =$B$4, INDEX('NZS O&amp;G and CA100'!$E$5:$N$193, MATCH($A108, 'NZS O&amp;G and CA100'!$B$5:$B$193, 0),MATCH(J$3, 'NZS O&amp;G and CA100'!$E$3:$N$3, 0)),"")</f>
        <v/>
      </c>
      <c r="K108" s="311" t="str">
        <f>IF(INDEX('NZS O&amp;G and CA100'!$D$5:$D$193, MATCH($A108, 'NZS O&amp;G and CA100'!$B$5:$B$193, 0)) =$B$4, INDEX('NZS O&amp;G and CA100'!$E$5:$N$193, MATCH($A108, 'NZS O&amp;G and CA100'!$B$5:$B$193, 0),MATCH(K$3, 'NZS O&amp;G and CA100'!$E$3:$N$3, 0)),"")</f>
        <v/>
      </c>
      <c r="L108" s="311" t="str">
        <f>IF(INDEX('NZS O&amp;G and CA100'!$D$5:$D$193, MATCH($A108, 'NZS O&amp;G and CA100'!$B$5:$B$193, 0)) =$B$4, INDEX('NZS O&amp;G and CA100'!$E$5:$N$193, MATCH($A108, 'NZS O&amp;G and CA100'!$B$5:$B$193, 0),MATCH(L$3, 'NZS O&amp;G and CA100'!$E$3:$N$3, 0)),"")</f>
        <v/>
      </c>
      <c r="M108" s="312" t="str">
        <f>IF(INDEX('NZS O&amp;G and CA100'!$D$5:$D$193, MATCH($A108, 'NZS O&amp;G and CA100'!$B$5:$B$193, 0)) =$B$4, INDEX('NZS O&amp;G and CA100'!$E$5:$N$193, MATCH($A108, 'NZS O&amp;G and CA100'!$B$5:$B$193, 0),MATCH(M$3, 'NZS O&amp;G and CA100'!$E$3:$N$3, 0)),"")</f>
        <v/>
      </c>
      <c r="O108" s="185" t="str">
        <f>IF(INDEX('NZS O&amp;G and CA100'!$D$5:$D$193, MATCH($A108, 'NZS O&amp;G and CA100'!$B$5:$B$193, 0)) = "Alignment", INDEX('NZS O&amp;G and CA100'!$E$5:$N$193, MATCH($A108, 'NZS O&amp;G and CA100'!$B$5:$B$193, 0),MATCH(O$4, 'NZS O&amp;G and CA100'!$E$3:$N$3, 0)),"")</f>
        <v>Under development</v>
      </c>
      <c r="P108" s="186" t="str">
        <f>IF(INDEX('NZS O&amp;G and CA100'!$D$5:$D$193, MATCH($A108, 'NZS O&amp;G and CA100'!$B$5:$B$193, 0)) = "Alignment", INDEX('NZS O&amp;G and CA100'!$E$5:$N$193, MATCH($A108, 'NZS O&amp;G and CA100'!$B$5:$B$193, 0),MATCH(P$4, 'NZS O&amp;G and CA100'!$E$3:$N$3, 0)),"")</f>
        <v>Under development</v>
      </c>
      <c r="Q108" s="186" t="str">
        <f>IF(INDEX('NZS O&amp;G and CA100'!$D$5:$D$193, MATCH($A108, 'NZS O&amp;G and CA100'!$B$5:$B$193, 0)) = "Alignment", INDEX('NZS O&amp;G and CA100'!$E$5:$N$193, MATCH($A108, 'NZS O&amp;G and CA100'!$B$5:$B$193, 0),MATCH(Q$4, 'NZS O&amp;G and CA100'!$E$3:$N$3, 0)),"")</f>
        <v>Under development</v>
      </c>
      <c r="R108" s="186" t="str">
        <f>IF(INDEX('NZS O&amp;G and CA100'!$D$5:$D$193, MATCH($A108, 'NZS O&amp;G and CA100'!$B$5:$B$193, 0)) = "Alignment", INDEX('NZS O&amp;G and CA100'!$E$5:$N$193, MATCH($A108, 'NZS O&amp;G and CA100'!$B$5:$B$193, 0),MATCH(R$4, 'NZS O&amp;G and CA100'!$E$3:$N$3, 0)),"")</f>
        <v>Under development</v>
      </c>
      <c r="S108" s="186" t="str">
        <f>IF(INDEX('NZS O&amp;G and CA100'!$D$5:$D$193, MATCH($A108, 'NZS O&amp;G and CA100'!$B$5:$B$193, 0)) = "Alignment", INDEX('NZS O&amp;G and CA100'!$E$5:$N$193, MATCH($A108, 'NZS O&amp;G and CA100'!$B$5:$B$193, 0),MATCH(S$4, 'NZS O&amp;G and CA100'!$E$3:$N$3, 0)),"")</f>
        <v>Under development</v>
      </c>
      <c r="T108" s="186" t="str">
        <f>IF(INDEX('NZS O&amp;G and CA100'!$D$5:$D$193, MATCH($A108, 'NZS O&amp;G and CA100'!$B$5:$B$193, 0)) = "Alignment", INDEX('NZS O&amp;G and CA100'!$E$5:$N$193, MATCH($A108, 'NZS O&amp;G and CA100'!$B$5:$B$193, 0),MATCH(T$4, 'NZS O&amp;G and CA100'!$E$3:$N$3, 0)),"")</f>
        <v>Under development</v>
      </c>
      <c r="U108" s="186" t="str">
        <f>IF(INDEX('NZS O&amp;G and CA100'!$D$5:$D$193, MATCH($A108, 'NZS O&amp;G and CA100'!$B$5:$B$193, 0)) = "Alignment", INDEX('NZS O&amp;G and CA100'!$E$5:$N$193, MATCH($A108, 'NZS O&amp;G and CA100'!$B$5:$B$193, 0),MATCH(U$4, 'NZS O&amp;G and CA100'!$E$3:$N$3, 0)),"")</f>
        <v>Under development</v>
      </c>
      <c r="V108" s="186" t="str">
        <f>IF(INDEX('NZS O&amp;G and CA100'!$D$5:$D$193, MATCH($A108, 'NZS O&amp;G and CA100'!$B$5:$B$193, 0)) = "Alignment", INDEX('NZS O&amp;G and CA100'!$E$5:$N$193, MATCH($A108, 'NZS O&amp;G and CA100'!$B$5:$B$193, 0),MATCH(V$4, 'NZS O&amp;G and CA100'!$E$3:$N$3, 0)),"")</f>
        <v>Under development</v>
      </c>
      <c r="W108" s="186" t="str">
        <f>IF(INDEX('NZS O&amp;G and CA100'!$D$5:$D$193, MATCH($A108, 'NZS O&amp;G and CA100'!$B$5:$B$193, 0)) = "Alignment", INDEX('NZS O&amp;G and CA100'!$E$5:$N$193, MATCH($A108, 'NZS O&amp;G and CA100'!$B$5:$B$193, 0),MATCH(L$3, 'NZS O&amp;G and CA100'!$E$3:$N$3, 0)),"")</f>
        <v>Under development</v>
      </c>
      <c r="X108" s="187" t="str">
        <f>IF(INDEX('NZS O&amp;G and CA100'!$D$5:$D$193, MATCH($A108, 'NZS O&amp;G and CA100'!$B$5:$B$193, 0)) = "Alignment", INDEX('NZS O&amp;G and CA100'!$E$5:$N$193, MATCH($A108, 'NZS O&amp;G and CA100'!$B$5:$B$193, 0),MATCH(M$3, 'NZS O&amp;G and CA100'!$E$3:$N$3, 0)),"")</f>
        <v>Under development</v>
      </c>
      <c r="Z108" s="55"/>
      <c r="AA108" s="56"/>
      <c r="AB108" s="56"/>
      <c r="AC108" s="56"/>
      <c r="AD108" s="56"/>
      <c r="AE108" s="56"/>
      <c r="AF108" s="56"/>
      <c r="AG108" s="56"/>
      <c r="AH108" s="56"/>
      <c r="AI108" s="57"/>
      <c r="AK108" s="49"/>
      <c r="AL108" s="49"/>
      <c r="AM108" s="49"/>
      <c r="AN108" s="49"/>
      <c r="AO108" s="49"/>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row>
    <row r="109" spans="1:108" s="1" customFormat="1" ht="6.65" customHeight="1" outlineLevel="1">
      <c r="A109" s="302"/>
      <c r="B109" s="231"/>
      <c r="C109" s="232"/>
      <c r="D109" s="55"/>
      <c r="E109" s="56"/>
      <c r="F109" s="56"/>
      <c r="G109" s="56"/>
      <c r="H109" s="56"/>
      <c r="I109" s="56"/>
      <c r="J109" s="56"/>
      <c r="K109" s="56"/>
      <c r="L109" s="56"/>
      <c r="M109" s="57"/>
      <c r="O109" s="55"/>
      <c r="P109" s="56"/>
      <c r="Q109" s="56"/>
      <c r="R109" s="56"/>
      <c r="S109" s="56"/>
      <c r="T109" s="56"/>
      <c r="U109" s="56"/>
      <c r="V109" s="56"/>
      <c r="W109" s="56"/>
      <c r="X109" s="57"/>
      <c r="Z109" s="55"/>
      <c r="AA109" s="56"/>
      <c r="AB109" s="56"/>
      <c r="AC109" s="56"/>
      <c r="AD109" s="56"/>
      <c r="AE109" s="56"/>
      <c r="AF109" s="56"/>
      <c r="AG109" s="56"/>
      <c r="AH109" s="56"/>
      <c r="AI109" s="57"/>
      <c r="AK109" s="49"/>
      <c r="AL109" s="49"/>
      <c r="AM109" s="49"/>
      <c r="AN109" s="49"/>
      <c r="AO109" s="49"/>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row>
    <row r="110" spans="1:108" s="1" customFormat="1" ht="18.649999999999999" customHeight="1" thickBot="1">
      <c r="A110" s="302"/>
      <c r="B110" s="229" t="s">
        <v>81</v>
      </c>
      <c r="C110" s="230"/>
      <c r="D110" s="58"/>
      <c r="E110" s="59"/>
      <c r="F110" s="59"/>
      <c r="G110" s="59"/>
      <c r="H110" s="59"/>
      <c r="I110" s="59"/>
      <c r="J110" s="59"/>
      <c r="K110" s="59"/>
      <c r="L110" s="59"/>
      <c r="M110" s="60"/>
      <c r="O110" s="58"/>
      <c r="P110" s="59"/>
      <c r="Q110" s="59"/>
      <c r="R110" s="59"/>
      <c r="S110" s="59"/>
      <c r="T110" s="59"/>
      <c r="U110" s="59"/>
      <c r="V110" s="59"/>
      <c r="W110" s="59"/>
      <c r="X110" s="60"/>
      <c r="Z110" s="58"/>
      <c r="AA110" s="59"/>
      <c r="AB110" s="59"/>
      <c r="AC110" s="59"/>
      <c r="AD110" s="59"/>
      <c r="AE110" s="59"/>
      <c r="AF110" s="59"/>
      <c r="AG110" s="59"/>
      <c r="AH110" s="59"/>
      <c r="AI110" s="60"/>
      <c r="AK110" s="49"/>
      <c r="AL110" s="49"/>
      <c r="AM110" s="49"/>
      <c r="AN110" s="49"/>
      <c r="AO110" s="49"/>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row>
    <row r="111" spans="1:108" s="1" customFormat="1" ht="18.649999999999999" customHeight="1">
      <c r="A111" s="302"/>
      <c r="B111" s="237"/>
      <c r="C111" s="65"/>
      <c r="D111" s="55"/>
      <c r="E111" s="56"/>
      <c r="F111" s="56"/>
      <c r="G111" s="56"/>
      <c r="H111" s="56"/>
      <c r="I111" s="56"/>
      <c r="J111" s="56"/>
      <c r="K111" s="56"/>
      <c r="L111" s="56"/>
      <c r="M111" s="63"/>
      <c r="O111" s="61"/>
      <c r="P111" s="62"/>
      <c r="Q111" s="62"/>
      <c r="R111" s="62"/>
      <c r="S111" s="62"/>
      <c r="T111" s="62"/>
      <c r="U111" s="62"/>
      <c r="V111" s="62"/>
      <c r="W111" s="62"/>
      <c r="X111" s="63"/>
      <c r="Z111" s="61"/>
      <c r="AA111" s="62"/>
      <c r="AB111" s="62"/>
      <c r="AC111" s="62"/>
      <c r="AD111" s="62"/>
      <c r="AE111" s="62"/>
      <c r="AF111" s="62"/>
      <c r="AG111" s="62"/>
      <c r="AH111" s="62"/>
      <c r="AI111" s="63"/>
      <c r="AK111" s="49"/>
      <c r="AL111" s="49"/>
      <c r="AM111" s="49"/>
      <c r="AN111" s="49"/>
      <c r="AO111" s="49"/>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row>
    <row r="112" spans="1:108" s="1" customFormat="1" ht="20.149999999999999" customHeight="1">
      <c r="A112" s="302">
        <v>6</v>
      </c>
      <c r="B112" s="376" t="s">
        <v>163</v>
      </c>
      <c r="C112" s="377"/>
      <c r="D112" s="313">
        <f>IF($B$4="Alignment","Under development",IF($B$4="Climate Solutions",D125,(SUM(D113,D137)/COUNT(D113,D137))))</f>
        <v>0.22222222222222221</v>
      </c>
      <c r="E112" s="308">
        <f t="shared" ref="E112:L112" si="29">IF($B$4="Alignment","Under development",IF($B$4="Climate Solutions",E125,(SUM(E113,E137)/COUNT(E113,E137))))</f>
        <v>5.5555555555555552E-2</v>
      </c>
      <c r="F112" s="308">
        <f t="shared" si="29"/>
        <v>5.5555555555555552E-2</v>
      </c>
      <c r="G112" s="308">
        <f t="shared" si="29"/>
        <v>0.33333333333333331</v>
      </c>
      <c r="H112" s="308">
        <f t="shared" si="29"/>
        <v>0.1111111111111111</v>
      </c>
      <c r="I112" s="308">
        <f t="shared" si="29"/>
        <v>0</v>
      </c>
      <c r="J112" s="308">
        <f t="shared" si="29"/>
        <v>0.16666666666666666</v>
      </c>
      <c r="K112" s="308">
        <f t="shared" si="29"/>
        <v>0.22222222222222221</v>
      </c>
      <c r="L112" s="308">
        <f t="shared" si="29"/>
        <v>0</v>
      </c>
      <c r="M112" s="309">
        <f>IF($B$4="Alignment","Under development",IF($B$4="Climate Solutions",M125,(SUM(M113,M137)/COUNT(M113,M137))))</f>
        <v>0.47222222222222221</v>
      </c>
      <c r="O112" s="185" t="e">
        <f>O113</f>
        <v>#REF!</v>
      </c>
      <c r="P112" s="186" t="e">
        <f t="shared" ref="P112:X112" si="30">P113</f>
        <v>#REF!</v>
      </c>
      <c r="Q112" s="186" t="e">
        <f t="shared" si="30"/>
        <v>#REF!</v>
      </c>
      <c r="R112" s="186" t="e">
        <f t="shared" si="30"/>
        <v>#REF!</v>
      </c>
      <c r="S112" s="186" t="e">
        <f t="shared" si="30"/>
        <v>#REF!</v>
      </c>
      <c r="T112" s="186" t="e">
        <f t="shared" si="30"/>
        <v>#REF!</v>
      </c>
      <c r="U112" s="186" t="e">
        <f t="shared" si="30"/>
        <v>#REF!</v>
      </c>
      <c r="V112" s="186" t="e">
        <f t="shared" si="30"/>
        <v>#REF!</v>
      </c>
      <c r="W112" s="186" t="e">
        <f t="shared" si="30"/>
        <v>#REF!</v>
      </c>
      <c r="X112" s="187" t="e">
        <f t="shared" si="30"/>
        <v>#REF!</v>
      </c>
      <c r="Z112" s="55" t="e">
        <f>Z125</f>
        <v>#REF!</v>
      </c>
      <c r="AA112" s="56" t="e">
        <f t="shared" ref="AA112:AI112" si="31">AA125</f>
        <v>#REF!</v>
      </c>
      <c r="AB112" s="56" t="e">
        <f t="shared" si="31"/>
        <v>#REF!</v>
      </c>
      <c r="AC112" s="56" t="e">
        <f t="shared" si="31"/>
        <v>#REF!</v>
      </c>
      <c r="AD112" s="56" t="e">
        <f t="shared" si="31"/>
        <v>#REF!</v>
      </c>
      <c r="AE112" s="56" t="e">
        <f t="shared" si="31"/>
        <v>#REF!</v>
      </c>
      <c r="AF112" s="56" t="e">
        <f t="shared" si="31"/>
        <v>#REF!</v>
      </c>
      <c r="AG112" s="56" t="e">
        <f t="shared" si="31"/>
        <v>#REF!</v>
      </c>
      <c r="AH112" s="56" t="e">
        <f t="shared" si="31"/>
        <v>#REF!</v>
      </c>
      <c r="AI112" s="57" t="e">
        <f t="shared" si="31"/>
        <v>#REF!</v>
      </c>
      <c r="AK112" s="49"/>
      <c r="AL112" s="49"/>
      <c r="AM112" s="49"/>
      <c r="AN112" s="49"/>
      <c r="AO112" s="49"/>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row>
    <row r="113" spans="1:108" s="1" customFormat="1" ht="20.149999999999999" customHeight="1" outlineLevel="1">
      <c r="A113" s="302">
        <v>6.1</v>
      </c>
      <c r="B113" s="231" t="s">
        <v>349</v>
      </c>
      <c r="C113" s="227" t="str">
        <f>VLOOKUP(A113, 'NZS O&amp;G and CA100'!$B$7:$D$194, 3, FALSE)</f>
        <v>Disclosure</v>
      </c>
      <c r="D113" s="310">
        <f>IF($B$4="Climate Solutions","",IF($B$4="Alignment","Under development",SUM(D114,D115,D116,D117,D118,D119,D120,D121,D123)/COUNT(D114,D115,D116,D117,D118,D119,D120,D121,D123)))</f>
        <v>0.44444444444444442</v>
      </c>
      <c r="E113" s="311">
        <f t="shared" ref="E113:M113" si="32">IF($B$4="Climate Solutions","",IF($B$4="Alignment","Under development",SUM(E114,E115,E116,E117,E118,E119,E120,E121,E123)/COUNT(E114,E115,E116,E117,E118,E119,E120,E121,E123)))</f>
        <v>0.1111111111111111</v>
      </c>
      <c r="F113" s="311">
        <f t="shared" si="32"/>
        <v>0.1111111111111111</v>
      </c>
      <c r="G113" s="311">
        <f t="shared" si="32"/>
        <v>0.66666666666666663</v>
      </c>
      <c r="H113" s="311">
        <f t="shared" si="32"/>
        <v>0.22222222222222221</v>
      </c>
      <c r="I113" s="311">
        <f t="shared" si="32"/>
        <v>0</v>
      </c>
      <c r="J113" s="311">
        <f t="shared" si="32"/>
        <v>0.33333333333333331</v>
      </c>
      <c r="K113" s="311">
        <f t="shared" si="32"/>
        <v>0.44444444444444442</v>
      </c>
      <c r="L113" s="311">
        <f t="shared" si="32"/>
        <v>0</v>
      </c>
      <c r="M113" s="312">
        <f t="shared" si="32"/>
        <v>0.44444444444444442</v>
      </c>
      <c r="O113" s="185" t="e">
        <f>#REF!</f>
        <v>#REF!</v>
      </c>
      <c r="P113" s="186" t="e">
        <f>#REF!</f>
        <v>#REF!</v>
      </c>
      <c r="Q113" s="186" t="e">
        <f>#REF!</f>
        <v>#REF!</v>
      </c>
      <c r="R113" s="186" t="e">
        <f>#REF!</f>
        <v>#REF!</v>
      </c>
      <c r="S113" s="186" t="e">
        <f>#REF!</f>
        <v>#REF!</v>
      </c>
      <c r="T113" s="186" t="e">
        <f>#REF!</f>
        <v>#REF!</v>
      </c>
      <c r="U113" s="186" t="e">
        <f>#REF!</f>
        <v>#REF!</v>
      </c>
      <c r="V113" s="186" t="e">
        <f>#REF!</f>
        <v>#REF!</v>
      </c>
      <c r="W113" s="186" t="e">
        <f>#REF!</f>
        <v>#REF!</v>
      </c>
      <c r="X113" s="187" t="e">
        <f>#REF!</f>
        <v>#REF!</v>
      </c>
      <c r="Z113" s="55"/>
      <c r="AA113" s="56"/>
      <c r="AB113" s="56"/>
      <c r="AC113" s="56"/>
      <c r="AD113" s="56"/>
      <c r="AE113" s="56"/>
      <c r="AF113" s="56"/>
      <c r="AG113" s="56"/>
      <c r="AH113" s="56"/>
      <c r="AI113" s="57"/>
      <c r="AK113" s="49"/>
      <c r="AL113" s="49"/>
      <c r="AM113" s="49"/>
      <c r="AN113" s="49"/>
      <c r="AO113" s="49"/>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row>
    <row r="114" spans="1:108" s="1" customFormat="1" ht="20.149999999999999" customHeight="1" outlineLevel="2">
      <c r="A114" s="302" t="s">
        <v>350</v>
      </c>
      <c r="B114" s="228" t="s">
        <v>165</v>
      </c>
      <c r="C114" s="227" t="str">
        <f>VLOOKUP(A114, 'NZS O&amp;G and CA100'!$B$7:$D$194, 3, FALSE)</f>
        <v>Disclosure</v>
      </c>
      <c r="D114" s="310">
        <f>IF(INDEX('NZS O&amp;G and CA100'!$D$5:$D$193, MATCH($A114, 'NZS O&amp;G and CA100'!$B$5:$B$193, 0)) =$B$4, INDEX('NZS O&amp;G and CA100'!$E$5:$N$193, MATCH($A114, 'NZS O&amp;G and CA100'!$B$5:$B$193, 0),MATCH(D$3, 'NZS O&amp;G and CA100'!$E$3:$N$3, 0)),"")</f>
        <v>1</v>
      </c>
      <c r="E114" s="311">
        <f>IF(INDEX('NZS O&amp;G and CA100'!$D$5:$D$193, MATCH($A114, 'NZS O&amp;G and CA100'!$B$5:$B$193, 0)) =$B$4, INDEX('NZS O&amp;G and CA100'!$E$5:$N$193, MATCH($A114, 'NZS O&amp;G and CA100'!$B$5:$B$193, 0),MATCH(E$3, 'NZS O&amp;G and CA100'!$E$3:$N$3, 0)),"")</f>
        <v>0</v>
      </c>
      <c r="F114" s="311">
        <f>IF(INDEX('NZS O&amp;G and CA100'!$D$5:$D$193, MATCH($A114, 'NZS O&amp;G and CA100'!$B$5:$B$193, 0)) =$B$4, INDEX('NZS O&amp;G and CA100'!$E$5:$N$193, MATCH($A114, 'NZS O&amp;G and CA100'!$B$5:$B$193, 0),MATCH(F$3, 'NZS O&amp;G and CA100'!$E$3:$N$3, 0)),"")</f>
        <v>0</v>
      </c>
      <c r="G114" s="311">
        <f>IF(INDEX('NZS O&amp;G and CA100'!$D$5:$D$193, MATCH($A114, 'NZS O&amp;G and CA100'!$B$5:$B$193, 0)) =$B$4, INDEX('NZS O&amp;G and CA100'!$E$5:$N$193, MATCH($A114, 'NZS O&amp;G and CA100'!$B$5:$B$193, 0),MATCH(G$3, 'NZS O&amp;G and CA100'!$E$3:$N$3, 0)),"")</f>
        <v>1</v>
      </c>
      <c r="H114" s="311">
        <f>IF(INDEX('NZS O&amp;G and CA100'!$D$5:$D$193, MATCH($A114, 'NZS O&amp;G and CA100'!$B$5:$B$193, 0)) =$B$4, INDEX('NZS O&amp;G and CA100'!$E$5:$N$193, MATCH($A114, 'NZS O&amp;G and CA100'!$B$5:$B$193, 0),MATCH(H$3, 'NZS O&amp;G and CA100'!$E$3:$N$3, 0)),"")</f>
        <v>0</v>
      </c>
      <c r="I114" s="311">
        <f>IF(INDEX('NZS O&amp;G and CA100'!$D$5:$D$193, MATCH($A114, 'NZS O&amp;G and CA100'!$B$5:$B$193, 0)) =$B$4, INDEX('NZS O&amp;G and CA100'!$E$5:$N$193, MATCH($A114, 'NZS O&amp;G and CA100'!$B$5:$B$193, 0),MATCH(I$3, 'NZS O&amp;G and CA100'!$E$3:$N$3, 0)),"")</f>
        <v>0</v>
      </c>
      <c r="J114" s="311">
        <f>IF(INDEX('NZS O&amp;G and CA100'!$D$5:$D$193, MATCH($A114, 'NZS O&amp;G and CA100'!$B$5:$B$193, 0)) =$B$4, INDEX('NZS O&amp;G and CA100'!$E$5:$N$193, MATCH($A114, 'NZS O&amp;G and CA100'!$B$5:$B$193, 0),MATCH(J$3, 'NZS O&amp;G and CA100'!$E$3:$N$3, 0)),"")</f>
        <v>0</v>
      </c>
      <c r="K114" s="311">
        <f>IF(INDEX('NZS O&amp;G and CA100'!$D$5:$D$193, MATCH($A114, 'NZS O&amp;G and CA100'!$B$5:$B$193, 0)) =$B$4, INDEX('NZS O&amp;G and CA100'!$E$5:$N$193, MATCH($A114, 'NZS O&amp;G and CA100'!$B$5:$B$193, 0),MATCH(K$3, 'NZS O&amp;G and CA100'!$E$3:$N$3, 0)),"")</f>
        <v>0</v>
      </c>
      <c r="L114" s="311">
        <f>IF(INDEX('NZS O&amp;G and CA100'!$D$5:$D$193, MATCH($A114, 'NZS O&amp;G and CA100'!$B$5:$B$193, 0)) =$B$4, INDEX('NZS O&amp;G and CA100'!$E$5:$N$193, MATCH($A114, 'NZS O&amp;G and CA100'!$B$5:$B$193, 0),MATCH(L$3, 'NZS O&amp;G and CA100'!$E$3:$N$3, 0)),"")</f>
        <v>0</v>
      </c>
      <c r="M114" s="312">
        <f>IF(INDEX('NZS O&amp;G and CA100'!$D$5:$D$193, MATCH($A114, 'NZS O&amp;G and CA100'!$B$5:$B$193, 0)) =$B$4, INDEX('NZS O&amp;G and CA100'!$E$5:$N$193, MATCH($A114, 'NZS O&amp;G and CA100'!$B$5:$B$193, 0),MATCH(M$3, 'NZS O&amp;G and CA100'!$E$3:$N$3, 0)),"")</f>
        <v>0</v>
      </c>
      <c r="O114" s="55" t="str">
        <f>IF(INDEX('NZS O&amp;G and CA100'!$D$5:$D$193, MATCH($A114, 'NZS O&amp;G and CA100'!$B$5:$B$193, 0)) = "Alignment", INDEX('NZS O&amp;G and CA100'!$E$5:$N$193, MATCH($A114, 'NZS O&amp;G and CA100'!$B$5:$B$193, 0),MATCH(O$4, 'NZS O&amp;G and CA100'!$E$3:$N$3, 0)),"")</f>
        <v/>
      </c>
      <c r="P114" s="56" t="str">
        <f>IF(INDEX('NZS O&amp;G and CA100'!$D$5:$D$193, MATCH($A114, 'NZS O&amp;G and CA100'!$B$5:$B$193, 0)) = "Alignment", INDEX('NZS O&amp;G and CA100'!$E$5:$N$193, MATCH($A114, 'NZS O&amp;G and CA100'!$B$5:$B$193, 0),MATCH(P$4, 'NZS O&amp;G and CA100'!$E$3:$N$3, 0)),"")</f>
        <v/>
      </c>
      <c r="Q114" s="56" t="str">
        <f>IF(INDEX('NZS O&amp;G and CA100'!$D$5:$D$193, MATCH($A114, 'NZS O&amp;G and CA100'!$B$5:$B$193, 0)) = "Alignment", INDEX('NZS O&amp;G and CA100'!$E$5:$N$193, MATCH($A114, 'NZS O&amp;G and CA100'!$B$5:$B$193, 0),MATCH(Q$4, 'NZS O&amp;G and CA100'!$E$3:$N$3, 0)),"")</f>
        <v/>
      </c>
      <c r="R114" s="56" t="str">
        <f>IF(INDEX('NZS O&amp;G and CA100'!$D$5:$D$193, MATCH($A114, 'NZS O&amp;G and CA100'!$B$5:$B$193, 0)) = "Alignment", INDEX('NZS O&amp;G and CA100'!$E$5:$N$193, MATCH($A114, 'NZS O&amp;G and CA100'!$B$5:$B$193, 0),MATCH(R$4, 'NZS O&amp;G and CA100'!$E$3:$N$3, 0)),"")</f>
        <v/>
      </c>
      <c r="S114" s="56" t="str">
        <f>IF(INDEX('NZS O&amp;G and CA100'!$D$5:$D$193, MATCH($A114, 'NZS O&amp;G and CA100'!$B$5:$B$193, 0)) = "Alignment", INDEX('NZS O&amp;G and CA100'!$E$5:$N$193, MATCH($A114, 'NZS O&amp;G and CA100'!$B$5:$B$193, 0),MATCH(S$4, 'NZS O&amp;G and CA100'!$E$3:$N$3, 0)),"")</f>
        <v/>
      </c>
      <c r="T114" s="56" t="str">
        <f>IF(INDEX('NZS O&amp;G and CA100'!$D$5:$D$193, MATCH($A114, 'NZS O&amp;G and CA100'!$B$5:$B$193, 0)) = "Alignment", INDEX('NZS O&amp;G and CA100'!$E$5:$N$193, MATCH($A114, 'NZS O&amp;G and CA100'!$B$5:$B$193, 0),MATCH(T$4, 'NZS O&amp;G and CA100'!$E$3:$N$3, 0)),"")</f>
        <v/>
      </c>
      <c r="U114" s="56" t="str">
        <f>IF(INDEX('NZS O&amp;G and CA100'!$D$5:$D$193, MATCH($A114, 'NZS O&amp;G and CA100'!$B$5:$B$193, 0)) = "Alignment", INDEX('NZS O&amp;G and CA100'!$E$5:$N$193, MATCH($A114, 'NZS O&amp;G and CA100'!$B$5:$B$193, 0),MATCH(U$4, 'NZS O&amp;G and CA100'!$E$3:$N$3, 0)),"")</f>
        <v/>
      </c>
      <c r="V114" s="56" t="str">
        <f>IF(INDEX('NZS O&amp;G and CA100'!$D$5:$D$193, MATCH($A114, 'NZS O&amp;G and CA100'!$B$5:$B$193, 0)) = "Alignment", INDEX('NZS O&amp;G and CA100'!$E$5:$N$193, MATCH($A114, 'NZS O&amp;G and CA100'!$B$5:$B$193, 0),MATCH(V$4, 'NZS O&amp;G and CA100'!$E$3:$N$3, 0)),"")</f>
        <v/>
      </c>
      <c r="W114" s="56" t="str">
        <f>IF(INDEX('NZS O&amp;G and CA100'!$D$5:$D$193, MATCH($A114, 'NZS O&amp;G and CA100'!$B$5:$B$193, 0)) = "Alignment", INDEX('NZS O&amp;G and CA100'!$E$5:$N$193, MATCH($A114, 'NZS O&amp;G and CA100'!$B$5:$B$193, 0),MATCH(L$3, 'NZS O&amp;G and CA100'!$E$3:$N$3, 0)),"")</f>
        <v/>
      </c>
      <c r="X114" s="57" t="str">
        <f>IF(INDEX('NZS O&amp;G and CA100'!$D$5:$D$193, MATCH($A114, 'NZS O&amp;G and CA100'!$B$5:$B$193, 0)) = "Alignment", INDEX('NZS O&amp;G and CA100'!$E$5:$N$193, MATCH($A114, 'NZS O&amp;G and CA100'!$B$5:$B$193, 0),MATCH(M$3, 'NZS O&amp;G and CA100'!$E$3:$N$3, 0)),"")</f>
        <v/>
      </c>
      <c r="Z114" s="55"/>
      <c r="AA114" s="56"/>
      <c r="AB114" s="56"/>
      <c r="AC114" s="56"/>
      <c r="AD114" s="56"/>
      <c r="AE114" s="56"/>
      <c r="AF114" s="56"/>
      <c r="AG114" s="56"/>
      <c r="AH114" s="56"/>
      <c r="AI114" s="57"/>
      <c r="AK114" s="49"/>
      <c r="AL114" s="49"/>
      <c r="AM114" s="49"/>
      <c r="AN114" s="49"/>
      <c r="AO114" s="49"/>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row>
    <row r="115" spans="1:108" s="1" customFormat="1" ht="20.149999999999999" customHeight="1" outlineLevel="2">
      <c r="A115" s="302" t="s">
        <v>351</v>
      </c>
      <c r="B115" s="228" t="s">
        <v>166</v>
      </c>
      <c r="C115" s="227" t="str">
        <f>VLOOKUP(A115, 'NZS O&amp;G and CA100'!$B$7:$D$194, 3, FALSE)</f>
        <v>Disclosure</v>
      </c>
      <c r="D115" s="310">
        <f>IF(INDEX('NZS O&amp;G and CA100'!$D$5:$D$193, MATCH($A115, 'NZS O&amp;G and CA100'!$B$5:$B$193, 0)) =$B$4, INDEX('NZS O&amp;G and CA100'!$E$5:$N$193, MATCH($A115, 'NZS O&amp;G and CA100'!$B$5:$B$193, 0),MATCH(D$3, 'NZS O&amp;G and CA100'!$E$3:$N$3, 0)),"")</f>
        <v>1</v>
      </c>
      <c r="E115" s="311">
        <f>IF(INDEX('NZS O&amp;G and CA100'!$D$5:$D$193, MATCH($A115, 'NZS O&amp;G and CA100'!$B$5:$B$193, 0)) =$B$4, INDEX('NZS O&amp;G and CA100'!$E$5:$N$193, MATCH($A115, 'NZS O&amp;G and CA100'!$B$5:$B$193, 0),MATCH(E$3, 'NZS O&amp;G and CA100'!$E$3:$N$3, 0)),"")</f>
        <v>0</v>
      </c>
      <c r="F115" s="311">
        <f>IF(INDEX('NZS O&amp;G and CA100'!$D$5:$D$193, MATCH($A115, 'NZS O&amp;G and CA100'!$B$5:$B$193, 0)) =$B$4, INDEX('NZS O&amp;G and CA100'!$E$5:$N$193, MATCH($A115, 'NZS O&amp;G and CA100'!$B$5:$B$193, 0),MATCH(F$3, 'NZS O&amp;G and CA100'!$E$3:$N$3, 0)),"")</f>
        <v>0</v>
      </c>
      <c r="G115" s="311">
        <f>IF(INDEX('NZS O&amp;G and CA100'!$D$5:$D$193, MATCH($A115, 'NZS O&amp;G and CA100'!$B$5:$B$193, 0)) =$B$4, INDEX('NZS O&amp;G and CA100'!$E$5:$N$193, MATCH($A115, 'NZS O&amp;G and CA100'!$B$5:$B$193, 0),MATCH(G$3, 'NZS O&amp;G and CA100'!$E$3:$N$3, 0)),"")</f>
        <v>1</v>
      </c>
      <c r="H115" s="311">
        <f>IF(INDEX('NZS O&amp;G and CA100'!$D$5:$D$193, MATCH($A115, 'NZS O&amp;G and CA100'!$B$5:$B$193, 0)) =$B$4, INDEX('NZS O&amp;G and CA100'!$E$5:$N$193, MATCH($A115, 'NZS O&amp;G and CA100'!$B$5:$B$193, 0),MATCH(H$3, 'NZS O&amp;G and CA100'!$E$3:$N$3, 0)),"")</f>
        <v>0</v>
      </c>
      <c r="I115" s="311">
        <f>IF(INDEX('NZS O&amp;G and CA100'!$D$5:$D$193, MATCH($A115, 'NZS O&amp;G and CA100'!$B$5:$B$193, 0)) =$B$4, INDEX('NZS O&amp;G and CA100'!$E$5:$N$193, MATCH($A115, 'NZS O&amp;G and CA100'!$B$5:$B$193, 0),MATCH(I$3, 'NZS O&amp;G and CA100'!$E$3:$N$3, 0)),"")</f>
        <v>0</v>
      </c>
      <c r="J115" s="311">
        <f>IF(INDEX('NZS O&amp;G and CA100'!$D$5:$D$193, MATCH($A115, 'NZS O&amp;G and CA100'!$B$5:$B$193, 0)) =$B$4, INDEX('NZS O&amp;G and CA100'!$E$5:$N$193, MATCH($A115, 'NZS O&amp;G and CA100'!$B$5:$B$193, 0),MATCH(J$3, 'NZS O&amp;G and CA100'!$E$3:$N$3, 0)),"")</f>
        <v>0</v>
      </c>
      <c r="K115" s="311">
        <f>IF(INDEX('NZS O&amp;G and CA100'!$D$5:$D$193, MATCH($A115, 'NZS O&amp;G and CA100'!$B$5:$B$193, 0)) =$B$4, INDEX('NZS O&amp;G and CA100'!$E$5:$N$193, MATCH($A115, 'NZS O&amp;G and CA100'!$B$5:$B$193, 0),MATCH(K$3, 'NZS O&amp;G and CA100'!$E$3:$N$3, 0)),"")</f>
        <v>1</v>
      </c>
      <c r="L115" s="311">
        <f>IF(INDEX('NZS O&amp;G and CA100'!$D$5:$D$193, MATCH($A115, 'NZS O&amp;G and CA100'!$B$5:$B$193, 0)) =$B$4, INDEX('NZS O&amp;G and CA100'!$E$5:$N$193, MATCH($A115, 'NZS O&amp;G and CA100'!$B$5:$B$193, 0),MATCH(L$3, 'NZS O&amp;G and CA100'!$E$3:$N$3, 0)),"")</f>
        <v>0</v>
      </c>
      <c r="M115" s="312">
        <f>IF(INDEX('NZS O&amp;G and CA100'!$D$5:$D$193, MATCH($A115, 'NZS O&amp;G and CA100'!$B$5:$B$193, 0)) =$B$4, INDEX('NZS O&amp;G and CA100'!$E$5:$N$193, MATCH($A115, 'NZS O&amp;G and CA100'!$B$5:$B$193, 0),MATCH(M$3, 'NZS O&amp;G and CA100'!$E$3:$N$3, 0)),"")</f>
        <v>1</v>
      </c>
      <c r="O115" s="55" t="str">
        <f>IF(INDEX('NZS O&amp;G and CA100'!$D$5:$D$193, MATCH($A115, 'NZS O&amp;G and CA100'!$B$5:$B$193, 0)) = "Alignment", INDEX('NZS O&amp;G and CA100'!$E$5:$N$193, MATCH($A115, 'NZS O&amp;G and CA100'!$B$5:$B$193, 0),MATCH(O$4, 'NZS O&amp;G and CA100'!$E$3:$N$3, 0)),"")</f>
        <v/>
      </c>
      <c r="P115" s="56" t="str">
        <f>IF(INDEX('NZS O&amp;G and CA100'!$D$5:$D$193, MATCH($A115, 'NZS O&amp;G and CA100'!$B$5:$B$193, 0)) = "Alignment", INDEX('NZS O&amp;G and CA100'!$E$5:$N$193, MATCH($A115, 'NZS O&amp;G and CA100'!$B$5:$B$193, 0),MATCH(P$4, 'NZS O&amp;G and CA100'!$E$3:$N$3, 0)),"")</f>
        <v/>
      </c>
      <c r="Q115" s="56" t="str">
        <f>IF(INDEX('NZS O&amp;G and CA100'!$D$5:$D$193, MATCH($A115, 'NZS O&amp;G and CA100'!$B$5:$B$193, 0)) = "Alignment", INDEX('NZS O&amp;G and CA100'!$E$5:$N$193, MATCH($A115, 'NZS O&amp;G and CA100'!$B$5:$B$193, 0),MATCH(Q$4, 'NZS O&amp;G and CA100'!$E$3:$N$3, 0)),"")</f>
        <v/>
      </c>
      <c r="R115" s="56" t="str">
        <f>IF(INDEX('NZS O&amp;G and CA100'!$D$5:$D$193, MATCH($A115, 'NZS O&amp;G and CA100'!$B$5:$B$193, 0)) = "Alignment", INDEX('NZS O&amp;G and CA100'!$E$5:$N$193, MATCH($A115, 'NZS O&amp;G and CA100'!$B$5:$B$193, 0),MATCH(R$4, 'NZS O&amp;G and CA100'!$E$3:$N$3, 0)),"")</f>
        <v/>
      </c>
      <c r="S115" s="56" t="str">
        <f>IF(INDEX('NZS O&amp;G and CA100'!$D$5:$D$193, MATCH($A115, 'NZS O&amp;G and CA100'!$B$5:$B$193, 0)) = "Alignment", INDEX('NZS O&amp;G and CA100'!$E$5:$N$193, MATCH($A115, 'NZS O&amp;G and CA100'!$B$5:$B$193, 0),MATCH(S$4, 'NZS O&amp;G and CA100'!$E$3:$N$3, 0)),"")</f>
        <v/>
      </c>
      <c r="T115" s="56" t="str">
        <f>IF(INDEX('NZS O&amp;G and CA100'!$D$5:$D$193, MATCH($A115, 'NZS O&amp;G and CA100'!$B$5:$B$193, 0)) = "Alignment", INDEX('NZS O&amp;G and CA100'!$E$5:$N$193, MATCH($A115, 'NZS O&amp;G and CA100'!$B$5:$B$193, 0),MATCH(T$4, 'NZS O&amp;G and CA100'!$E$3:$N$3, 0)),"")</f>
        <v/>
      </c>
      <c r="U115" s="56" t="str">
        <f>IF(INDEX('NZS O&amp;G and CA100'!$D$5:$D$193, MATCH($A115, 'NZS O&amp;G and CA100'!$B$5:$B$193, 0)) = "Alignment", INDEX('NZS O&amp;G and CA100'!$E$5:$N$193, MATCH($A115, 'NZS O&amp;G and CA100'!$B$5:$B$193, 0),MATCH(U$4, 'NZS O&amp;G and CA100'!$E$3:$N$3, 0)),"")</f>
        <v/>
      </c>
      <c r="V115" s="56" t="str">
        <f>IF(INDEX('NZS O&amp;G and CA100'!$D$5:$D$193, MATCH($A115, 'NZS O&amp;G and CA100'!$B$5:$B$193, 0)) = "Alignment", INDEX('NZS O&amp;G and CA100'!$E$5:$N$193, MATCH($A115, 'NZS O&amp;G and CA100'!$B$5:$B$193, 0),MATCH(V$4, 'NZS O&amp;G and CA100'!$E$3:$N$3, 0)),"")</f>
        <v/>
      </c>
      <c r="W115" s="56" t="str">
        <f>IF(INDEX('NZS O&amp;G and CA100'!$D$5:$D$193, MATCH($A115, 'NZS O&amp;G and CA100'!$B$5:$B$193, 0)) = "Alignment", INDEX('NZS O&amp;G and CA100'!$E$5:$N$193, MATCH($A115, 'NZS O&amp;G and CA100'!$B$5:$B$193, 0),MATCH(L$3, 'NZS O&amp;G and CA100'!$E$3:$N$3, 0)),"")</f>
        <v/>
      </c>
      <c r="X115" s="57" t="str">
        <f>IF(INDEX('NZS O&amp;G and CA100'!$D$5:$D$193, MATCH($A115, 'NZS O&amp;G and CA100'!$B$5:$B$193, 0)) = "Alignment", INDEX('NZS O&amp;G and CA100'!$E$5:$N$193, MATCH($A115, 'NZS O&amp;G and CA100'!$B$5:$B$193, 0),MATCH(M$3, 'NZS O&amp;G and CA100'!$E$3:$N$3, 0)),"")</f>
        <v/>
      </c>
      <c r="Z115" s="55"/>
      <c r="AA115" s="56"/>
      <c r="AB115" s="56"/>
      <c r="AC115" s="56"/>
      <c r="AD115" s="56"/>
      <c r="AE115" s="56"/>
      <c r="AF115" s="56"/>
      <c r="AG115" s="56"/>
      <c r="AH115" s="56"/>
      <c r="AI115" s="57"/>
      <c r="AK115" s="49"/>
      <c r="AL115" s="49"/>
      <c r="AM115" s="49"/>
      <c r="AN115" s="49"/>
      <c r="AO115" s="49"/>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row>
    <row r="116" spans="1:108" s="1" customFormat="1" ht="20.149999999999999" customHeight="1" outlineLevel="2">
      <c r="A116" s="302" t="s">
        <v>352</v>
      </c>
      <c r="B116" s="235" t="s">
        <v>167</v>
      </c>
      <c r="C116" s="236" t="str">
        <f>VLOOKUP(A116, 'NZS O&amp;G and CA100'!$B$7:$D$194, 3, FALSE)</f>
        <v>Disclosure</v>
      </c>
      <c r="D116" s="310">
        <f>IF(INDEX('NZS O&amp;G and CA100'!$D$5:$D$193, MATCH($A116, 'NZS O&amp;G and CA100'!$B$5:$B$193, 0)) =$B$4, INDEX('NZS O&amp;G and CA100'!$E$5:$N$193, MATCH($A116, 'NZS O&amp;G and CA100'!$B$5:$B$193, 0),MATCH(D$3, 'NZS O&amp;G and CA100'!$E$3:$N$3, 0)),"")</f>
        <v>1</v>
      </c>
      <c r="E116" s="311">
        <f>IF(INDEX('NZS O&amp;G and CA100'!$D$5:$D$193, MATCH($A116, 'NZS O&amp;G and CA100'!$B$5:$B$193, 0)) =$B$4, INDEX('NZS O&amp;G and CA100'!$E$5:$N$193, MATCH($A116, 'NZS O&amp;G and CA100'!$B$5:$B$193, 0),MATCH(E$3, 'NZS O&amp;G and CA100'!$E$3:$N$3, 0)),"")</f>
        <v>1</v>
      </c>
      <c r="F116" s="311">
        <f>IF(INDEX('NZS O&amp;G and CA100'!$D$5:$D$193, MATCH($A116, 'NZS O&amp;G and CA100'!$B$5:$B$193, 0)) =$B$4, INDEX('NZS O&amp;G and CA100'!$E$5:$N$193, MATCH($A116, 'NZS O&amp;G and CA100'!$B$5:$B$193, 0),MATCH(F$3, 'NZS O&amp;G and CA100'!$E$3:$N$3, 0)),"")</f>
        <v>1</v>
      </c>
      <c r="G116" s="311">
        <f>IF(INDEX('NZS O&amp;G and CA100'!$D$5:$D$193, MATCH($A116, 'NZS O&amp;G and CA100'!$B$5:$B$193, 0)) =$B$4, INDEX('NZS O&amp;G and CA100'!$E$5:$N$193, MATCH($A116, 'NZS O&amp;G and CA100'!$B$5:$B$193, 0),MATCH(G$3, 'NZS O&amp;G and CA100'!$E$3:$N$3, 0)),"")</f>
        <v>1</v>
      </c>
      <c r="H116" s="311">
        <f>IF(INDEX('NZS O&amp;G and CA100'!$D$5:$D$193, MATCH($A116, 'NZS O&amp;G and CA100'!$B$5:$B$193, 0)) =$B$4, INDEX('NZS O&amp;G and CA100'!$E$5:$N$193, MATCH($A116, 'NZS O&amp;G and CA100'!$B$5:$B$193, 0),MATCH(H$3, 'NZS O&amp;G and CA100'!$E$3:$N$3, 0)),"")</f>
        <v>1</v>
      </c>
      <c r="I116" s="311">
        <f>IF(INDEX('NZS O&amp;G and CA100'!$D$5:$D$193, MATCH($A116, 'NZS O&amp;G and CA100'!$B$5:$B$193, 0)) =$B$4, INDEX('NZS O&amp;G and CA100'!$E$5:$N$193, MATCH($A116, 'NZS O&amp;G and CA100'!$B$5:$B$193, 0),MATCH(I$3, 'NZS O&amp;G and CA100'!$E$3:$N$3, 0)),"")</f>
        <v>0</v>
      </c>
      <c r="J116" s="311">
        <f>IF(INDEX('NZS O&amp;G and CA100'!$D$5:$D$193, MATCH($A116, 'NZS O&amp;G and CA100'!$B$5:$B$193, 0)) =$B$4, INDEX('NZS O&amp;G and CA100'!$E$5:$N$193, MATCH($A116, 'NZS O&amp;G and CA100'!$B$5:$B$193, 0),MATCH(J$3, 'NZS O&amp;G and CA100'!$E$3:$N$3, 0)),"")</f>
        <v>1</v>
      </c>
      <c r="K116" s="311">
        <f>IF(INDEX('NZS O&amp;G and CA100'!$D$5:$D$193, MATCH($A116, 'NZS O&amp;G and CA100'!$B$5:$B$193, 0)) =$B$4, INDEX('NZS O&amp;G and CA100'!$E$5:$N$193, MATCH($A116, 'NZS O&amp;G and CA100'!$B$5:$B$193, 0),MATCH(K$3, 'NZS O&amp;G and CA100'!$E$3:$N$3, 0)),"")</f>
        <v>1</v>
      </c>
      <c r="L116" s="311">
        <f>IF(INDEX('NZS O&amp;G and CA100'!$D$5:$D$193, MATCH($A116, 'NZS O&amp;G and CA100'!$B$5:$B$193, 0)) =$B$4, INDEX('NZS O&amp;G and CA100'!$E$5:$N$193, MATCH($A116, 'NZS O&amp;G and CA100'!$B$5:$B$193, 0),MATCH(L$3, 'NZS O&amp;G and CA100'!$E$3:$N$3, 0)),"")</f>
        <v>0</v>
      </c>
      <c r="M116" s="312">
        <f>IF(INDEX('NZS O&amp;G and CA100'!$D$5:$D$193, MATCH($A116, 'NZS O&amp;G and CA100'!$B$5:$B$193, 0)) =$B$4, INDEX('NZS O&amp;G and CA100'!$E$5:$N$193, MATCH($A116, 'NZS O&amp;G and CA100'!$B$5:$B$193, 0),MATCH(M$3, 'NZS O&amp;G and CA100'!$E$3:$N$3, 0)),"")</f>
        <v>1</v>
      </c>
      <c r="O116" s="55" t="str">
        <f>IF(INDEX('NZS O&amp;G and CA100'!$D$5:$D$193, MATCH($A116, 'NZS O&amp;G and CA100'!$B$5:$B$193, 0)) = "Alignment", INDEX('NZS O&amp;G and CA100'!$E$5:$N$193, MATCH($A116, 'NZS O&amp;G and CA100'!$B$5:$B$193, 0),MATCH(O$4, 'NZS O&amp;G and CA100'!$E$3:$N$3, 0)),"")</f>
        <v/>
      </c>
      <c r="P116" s="56" t="str">
        <f>IF(INDEX('NZS O&amp;G and CA100'!$D$5:$D$193, MATCH($A116, 'NZS O&amp;G and CA100'!$B$5:$B$193, 0)) = "Alignment", INDEX('NZS O&amp;G and CA100'!$E$5:$N$193, MATCH($A116, 'NZS O&amp;G and CA100'!$B$5:$B$193, 0),MATCH(P$4, 'NZS O&amp;G and CA100'!$E$3:$N$3, 0)),"")</f>
        <v/>
      </c>
      <c r="Q116" s="56" t="str">
        <f>IF(INDEX('NZS O&amp;G and CA100'!$D$5:$D$193, MATCH($A116, 'NZS O&amp;G and CA100'!$B$5:$B$193, 0)) = "Alignment", INDEX('NZS O&amp;G and CA100'!$E$5:$N$193, MATCH($A116, 'NZS O&amp;G and CA100'!$B$5:$B$193, 0),MATCH(Q$4, 'NZS O&amp;G and CA100'!$E$3:$N$3, 0)),"")</f>
        <v/>
      </c>
      <c r="R116" s="56" t="str">
        <f>IF(INDEX('NZS O&amp;G and CA100'!$D$5:$D$193, MATCH($A116, 'NZS O&amp;G and CA100'!$B$5:$B$193, 0)) = "Alignment", INDEX('NZS O&amp;G and CA100'!$E$5:$N$193, MATCH($A116, 'NZS O&amp;G and CA100'!$B$5:$B$193, 0),MATCH(R$4, 'NZS O&amp;G and CA100'!$E$3:$N$3, 0)),"")</f>
        <v/>
      </c>
      <c r="S116" s="56" t="str">
        <f>IF(INDEX('NZS O&amp;G and CA100'!$D$5:$D$193, MATCH($A116, 'NZS O&amp;G and CA100'!$B$5:$B$193, 0)) = "Alignment", INDEX('NZS O&amp;G and CA100'!$E$5:$N$193, MATCH($A116, 'NZS O&amp;G and CA100'!$B$5:$B$193, 0),MATCH(S$4, 'NZS O&amp;G and CA100'!$E$3:$N$3, 0)),"")</f>
        <v/>
      </c>
      <c r="T116" s="56" t="str">
        <f>IF(INDEX('NZS O&amp;G and CA100'!$D$5:$D$193, MATCH($A116, 'NZS O&amp;G and CA100'!$B$5:$B$193, 0)) = "Alignment", INDEX('NZS O&amp;G and CA100'!$E$5:$N$193, MATCH($A116, 'NZS O&amp;G and CA100'!$B$5:$B$193, 0),MATCH(T$4, 'NZS O&amp;G and CA100'!$E$3:$N$3, 0)),"")</f>
        <v/>
      </c>
      <c r="U116" s="56" t="str">
        <f>IF(INDEX('NZS O&amp;G and CA100'!$D$5:$D$193, MATCH($A116, 'NZS O&amp;G and CA100'!$B$5:$B$193, 0)) = "Alignment", INDEX('NZS O&amp;G and CA100'!$E$5:$N$193, MATCH($A116, 'NZS O&amp;G and CA100'!$B$5:$B$193, 0),MATCH(U$4, 'NZS O&amp;G and CA100'!$E$3:$N$3, 0)),"")</f>
        <v/>
      </c>
      <c r="V116" s="56" t="str">
        <f>IF(INDEX('NZS O&amp;G and CA100'!$D$5:$D$193, MATCH($A116, 'NZS O&amp;G and CA100'!$B$5:$B$193, 0)) = "Alignment", INDEX('NZS O&amp;G and CA100'!$E$5:$N$193, MATCH($A116, 'NZS O&amp;G and CA100'!$B$5:$B$193, 0),MATCH(V$4, 'NZS O&amp;G and CA100'!$E$3:$N$3, 0)),"")</f>
        <v/>
      </c>
      <c r="W116" s="56" t="str">
        <f>IF(INDEX('NZS O&amp;G and CA100'!$D$5:$D$193, MATCH($A116, 'NZS O&amp;G and CA100'!$B$5:$B$193, 0)) = "Alignment", INDEX('NZS O&amp;G and CA100'!$E$5:$N$193, MATCH($A116, 'NZS O&amp;G and CA100'!$B$5:$B$193, 0),MATCH(L$3, 'NZS O&amp;G and CA100'!$E$3:$N$3, 0)),"")</f>
        <v/>
      </c>
      <c r="X116" s="57" t="str">
        <f>IF(INDEX('NZS O&amp;G and CA100'!$D$5:$D$193, MATCH($A116, 'NZS O&amp;G and CA100'!$B$5:$B$193, 0)) = "Alignment", INDEX('NZS O&amp;G and CA100'!$E$5:$N$193, MATCH($A116, 'NZS O&amp;G and CA100'!$B$5:$B$193, 0),MATCH(M$3, 'NZS O&amp;G and CA100'!$E$3:$N$3, 0)),"")</f>
        <v/>
      </c>
      <c r="Z116" s="55"/>
      <c r="AA116" s="56"/>
      <c r="AB116" s="56"/>
      <c r="AC116" s="56"/>
      <c r="AD116" s="56"/>
      <c r="AE116" s="56"/>
      <c r="AF116" s="56"/>
      <c r="AG116" s="56"/>
      <c r="AH116" s="56"/>
      <c r="AI116" s="57"/>
      <c r="AK116" s="49"/>
      <c r="AL116" s="49"/>
      <c r="AM116" s="49"/>
      <c r="AN116" s="49"/>
      <c r="AO116" s="49"/>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row>
    <row r="117" spans="1:108" s="1" customFormat="1" ht="20.149999999999999" customHeight="1" outlineLevel="2">
      <c r="A117" s="302" t="s">
        <v>353</v>
      </c>
      <c r="B117" s="235" t="s">
        <v>168</v>
      </c>
      <c r="C117" s="236" t="str">
        <f>VLOOKUP(A117, 'NZS O&amp;G and CA100'!$B$7:$D$194, 3, FALSE)</f>
        <v>Disclosure</v>
      </c>
      <c r="D117" s="310">
        <f>IF(INDEX('NZS O&amp;G and CA100'!$D$5:$D$193, MATCH($A117, 'NZS O&amp;G and CA100'!$B$5:$B$193, 0)) =$B$4, INDEX('NZS O&amp;G and CA100'!$E$5:$N$193, MATCH($A117, 'NZS O&amp;G and CA100'!$B$5:$B$193, 0),MATCH(D$3, 'NZS O&amp;G and CA100'!$E$3:$N$3, 0)),"")</f>
        <v>1</v>
      </c>
      <c r="E117" s="311">
        <f>IF(INDEX('NZS O&amp;G and CA100'!$D$5:$D$193, MATCH($A117, 'NZS O&amp;G and CA100'!$B$5:$B$193, 0)) =$B$4, INDEX('NZS O&amp;G and CA100'!$E$5:$N$193, MATCH($A117, 'NZS O&amp;G and CA100'!$B$5:$B$193, 0),MATCH(E$3, 'NZS O&amp;G and CA100'!$E$3:$N$3, 0)),"")</f>
        <v>0</v>
      </c>
      <c r="F117" s="311">
        <f>IF(INDEX('NZS O&amp;G and CA100'!$D$5:$D$193, MATCH($A117, 'NZS O&amp;G and CA100'!$B$5:$B$193, 0)) =$B$4, INDEX('NZS O&amp;G and CA100'!$E$5:$N$193, MATCH($A117, 'NZS O&amp;G and CA100'!$B$5:$B$193, 0),MATCH(F$3, 'NZS O&amp;G and CA100'!$E$3:$N$3, 0)),"")</f>
        <v>0</v>
      </c>
      <c r="G117" s="311">
        <f>IF(INDEX('NZS O&amp;G and CA100'!$D$5:$D$193, MATCH($A117, 'NZS O&amp;G and CA100'!$B$5:$B$193, 0)) =$B$4, INDEX('NZS O&amp;G and CA100'!$E$5:$N$193, MATCH($A117, 'NZS O&amp;G and CA100'!$B$5:$B$193, 0),MATCH(G$3, 'NZS O&amp;G and CA100'!$E$3:$N$3, 0)),"")</f>
        <v>1</v>
      </c>
      <c r="H117" s="311">
        <f>IF(INDEX('NZS O&amp;G and CA100'!$D$5:$D$193, MATCH($A117, 'NZS O&amp;G and CA100'!$B$5:$B$193, 0)) =$B$4, INDEX('NZS O&amp;G and CA100'!$E$5:$N$193, MATCH($A117, 'NZS O&amp;G and CA100'!$B$5:$B$193, 0),MATCH(H$3, 'NZS O&amp;G and CA100'!$E$3:$N$3, 0)),"")</f>
        <v>0</v>
      </c>
      <c r="I117" s="311">
        <f>IF(INDEX('NZS O&amp;G and CA100'!$D$5:$D$193, MATCH($A117, 'NZS O&amp;G and CA100'!$B$5:$B$193, 0)) =$B$4, INDEX('NZS O&amp;G and CA100'!$E$5:$N$193, MATCH($A117, 'NZS O&amp;G and CA100'!$B$5:$B$193, 0),MATCH(I$3, 'NZS O&amp;G and CA100'!$E$3:$N$3, 0)),"")</f>
        <v>0</v>
      </c>
      <c r="J117" s="311">
        <f>IF(INDEX('NZS O&amp;G and CA100'!$D$5:$D$193, MATCH($A117, 'NZS O&amp;G and CA100'!$B$5:$B$193, 0)) =$B$4, INDEX('NZS O&amp;G and CA100'!$E$5:$N$193, MATCH($A117, 'NZS O&amp;G and CA100'!$B$5:$B$193, 0),MATCH(J$3, 'NZS O&amp;G and CA100'!$E$3:$N$3, 0)),"")</f>
        <v>0</v>
      </c>
      <c r="K117" s="311">
        <f>IF(INDEX('NZS O&amp;G and CA100'!$D$5:$D$193, MATCH($A117, 'NZS O&amp;G and CA100'!$B$5:$B$193, 0)) =$B$4, INDEX('NZS O&amp;G and CA100'!$E$5:$N$193, MATCH($A117, 'NZS O&amp;G and CA100'!$B$5:$B$193, 0),MATCH(K$3, 'NZS O&amp;G and CA100'!$E$3:$N$3, 0)),"")</f>
        <v>1</v>
      </c>
      <c r="L117" s="311">
        <f>IF(INDEX('NZS O&amp;G and CA100'!$D$5:$D$193, MATCH($A117, 'NZS O&amp;G and CA100'!$B$5:$B$193, 0)) =$B$4, INDEX('NZS O&amp;G and CA100'!$E$5:$N$193, MATCH($A117, 'NZS O&amp;G and CA100'!$B$5:$B$193, 0),MATCH(L$3, 'NZS O&amp;G and CA100'!$E$3:$N$3, 0)),"")</f>
        <v>0</v>
      </c>
      <c r="M117" s="312">
        <f>IF(INDEX('NZS O&amp;G and CA100'!$D$5:$D$193, MATCH($A117, 'NZS O&amp;G and CA100'!$B$5:$B$193, 0)) =$B$4, INDEX('NZS O&amp;G and CA100'!$E$5:$N$193, MATCH($A117, 'NZS O&amp;G and CA100'!$B$5:$B$193, 0),MATCH(M$3, 'NZS O&amp;G and CA100'!$E$3:$N$3, 0)),"")</f>
        <v>1</v>
      </c>
      <c r="O117" s="55" t="str">
        <f>IF(INDEX('NZS O&amp;G and CA100'!$D$5:$D$193, MATCH($A117, 'NZS O&amp;G and CA100'!$B$5:$B$193, 0)) = "Alignment", INDEX('NZS O&amp;G and CA100'!$E$5:$N$193, MATCH($A117, 'NZS O&amp;G and CA100'!$B$5:$B$193, 0),MATCH(O$4, 'NZS O&amp;G and CA100'!$E$3:$N$3, 0)),"")</f>
        <v/>
      </c>
      <c r="P117" s="56" t="str">
        <f>IF(INDEX('NZS O&amp;G and CA100'!$D$5:$D$193, MATCH($A117, 'NZS O&amp;G and CA100'!$B$5:$B$193, 0)) = "Alignment", INDEX('NZS O&amp;G and CA100'!$E$5:$N$193, MATCH($A117, 'NZS O&amp;G and CA100'!$B$5:$B$193, 0),MATCH(P$4, 'NZS O&amp;G and CA100'!$E$3:$N$3, 0)),"")</f>
        <v/>
      </c>
      <c r="Q117" s="56" t="str">
        <f>IF(INDEX('NZS O&amp;G and CA100'!$D$5:$D$193, MATCH($A117, 'NZS O&amp;G and CA100'!$B$5:$B$193, 0)) = "Alignment", INDEX('NZS O&amp;G and CA100'!$E$5:$N$193, MATCH($A117, 'NZS O&amp;G and CA100'!$B$5:$B$193, 0),MATCH(Q$4, 'NZS O&amp;G and CA100'!$E$3:$N$3, 0)),"")</f>
        <v/>
      </c>
      <c r="R117" s="56" t="str">
        <f>IF(INDEX('NZS O&amp;G and CA100'!$D$5:$D$193, MATCH($A117, 'NZS O&amp;G and CA100'!$B$5:$B$193, 0)) = "Alignment", INDEX('NZS O&amp;G and CA100'!$E$5:$N$193, MATCH($A117, 'NZS O&amp;G and CA100'!$B$5:$B$193, 0),MATCH(R$4, 'NZS O&amp;G and CA100'!$E$3:$N$3, 0)),"")</f>
        <v/>
      </c>
      <c r="S117" s="56" t="str">
        <f>IF(INDEX('NZS O&amp;G and CA100'!$D$5:$D$193, MATCH($A117, 'NZS O&amp;G and CA100'!$B$5:$B$193, 0)) = "Alignment", INDEX('NZS O&amp;G and CA100'!$E$5:$N$193, MATCH($A117, 'NZS O&amp;G and CA100'!$B$5:$B$193, 0),MATCH(S$4, 'NZS O&amp;G and CA100'!$E$3:$N$3, 0)),"")</f>
        <v/>
      </c>
      <c r="T117" s="56" t="str">
        <f>IF(INDEX('NZS O&amp;G and CA100'!$D$5:$D$193, MATCH($A117, 'NZS O&amp;G and CA100'!$B$5:$B$193, 0)) = "Alignment", INDEX('NZS O&amp;G and CA100'!$E$5:$N$193, MATCH($A117, 'NZS O&amp;G and CA100'!$B$5:$B$193, 0),MATCH(T$4, 'NZS O&amp;G and CA100'!$E$3:$N$3, 0)),"")</f>
        <v/>
      </c>
      <c r="U117" s="56" t="str">
        <f>IF(INDEX('NZS O&amp;G and CA100'!$D$5:$D$193, MATCH($A117, 'NZS O&amp;G and CA100'!$B$5:$B$193, 0)) = "Alignment", INDEX('NZS O&amp;G and CA100'!$E$5:$N$193, MATCH($A117, 'NZS O&amp;G and CA100'!$B$5:$B$193, 0),MATCH(U$4, 'NZS O&amp;G and CA100'!$E$3:$N$3, 0)),"")</f>
        <v/>
      </c>
      <c r="V117" s="56" t="str">
        <f>IF(INDEX('NZS O&amp;G and CA100'!$D$5:$D$193, MATCH($A117, 'NZS O&amp;G and CA100'!$B$5:$B$193, 0)) = "Alignment", INDEX('NZS O&amp;G and CA100'!$E$5:$N$193, MATCH($A117, 'NZS O&amp;G and CA100'!$B$5:$B$193, 0),MATCH(V$4, 'NZS O&amp;G and CA100'!$E$3:$N$3, 0)),"")</f>
        <v/>
      </c>
      <c r="W117" s="56" t="str">
        <f>IF(INDEX('NZS O&amp;G and CA100'!$D$5:$D$193, MATCH($A117, 'NZS O&amp;G and CA100'!$B$5:$B$193, 0)) = "Alignment", INDEX('NZS O&amp;G and CA100'!$E$5:$N$193, MATCH($A117, 'NZS O&amp;G and CA100'!$B$5:$B$193, 0),MATCH(L$3, 'NZS O&amp;G and CA100'!$E$3:$N$3, 0)),"")</f>
        <v/>
      </c>
      <c r="X117" s="57" t="str">
        <f>IF(INDEX('NZS O&amp;G and CA100'!$D$5:$D$193, MATCH($A117, 'NZS O&amp;G and CA100'!$B$5:$B$193, 0)) = "Alignment", INDEX('NZS O&amp;G and CA100'!$E$5:$N$193, MATCH($A117, 'NZS O&amp;G and CA100'!$B$5:$B$193, 0),MATCH(M$3, 'NZS O&amp;G and CA100'!$E$3:$N$3, 0)),"")</f>
        <v/>
      </c>
      <c r="Z117" s="55"/>
      <c r="AA117" s="56"/>
      <c r="AB117" s="56"/>
      <c r="AC117" s="56"/>
      <c r="AD117" s="56"/>
      <c r="AE117" s="56"/>
      <c r="AF117" s="56"/>
      <c r="AG117" s="56"/>
      <c r="AH117" s="56"/>
      <c r="AI117" s="57"/>
      <c r="AK117" s="49"/>
      <c r="AL117" s="49"/>
      <c r="AM117" s="49"/>
      <c r="AN117" s="49"/>
      <c r="AO117" s="49"/>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row>
    <row r="118" spans="1:108" s="1" customFormat="1" ht="20.149999999999999" customHeight="1" outlineLevel="2">
      <c r="A118" s="302" t="s">
        <v>354</v>
      </c>
      <c r="B118" s="235" t="s">
        <v>169</v>
      </c>
      <c r="C118" s="236" t="str">
        <f>VLOOKUP(A118, 'NZS O&amp;G and CA100'!$B$7:$D$194, 3, FALSE)</f>
        <v>Disclosure</v>
      </c>
      <c r="D118" s="310">
        <f>IF(INDEX('NZS O&amp;G and CA100'!$D$5:$D$193, MATCH($A118, 'NZS O&amp;G and CA100'!$B$5:$B$193, 0)) =$B$4, INDEX('NZS O&amp;G and CA100'!$E$5:$N$193, MATCH($A118, 'NZS O&amp;G and CA100'!$B$5:$B$193, 0),MATCH(D$3, 'NZS O&amp;G and CA100'!$E$3:$N$3, 0)),"")</f>
        <v>0</v>
      </c>
      <c r="E118" s="311">
        <f>IF(INDEX('NZS O&amp;G and CA100'!$D$5:$D$193, MATCH($A118, 'NZS O&amp;G and CA100'!$B$5:$B$193, 0)) =$B$4, INDEX('NZS O&amp;G and CA100'!$E$5:$N$193, MATCH($A118, 'NZS O&amp;G and CA100'!$B$5:$B$193, 0),MATCH(E$3, 'NZS O&amp;G and CA100'!$E$3:$N$3, 0)),"")</f>
        <v>0</v>
      </c>
      <c r="F118" s="311">
        <f>IF(INDEX('NZS O&amp;G and CA100'!$D$5:$D$193, MATCH($A118, 'NZS O&amp;G and CA100'!$B$5:$B$193, 0)) =$B$4, INDEX('NZS O&amp;G and CA100'!$E$5:$N$193, MATCH($A118, 'NZS O&amp;G and CA100'!$B$5:$B$193, 0),MATCH(F$3, 'NZS O&amp;G and CA100'!$E$3:$N$3, 0)),"")</f>
        <v>0</v>
      </c>
      <c r="G118" s="311">
        <f>IF(INDEX('NZS O&amp;G and CA100'!$D$5:$D$193, MATCH($A118, 'NZS O&amp;G and CA100'!$B$5:$B$193, 0)) =$B$4, INDEX('NZS O&amp;G and CA100'!$E$5:$N$193, MATCH($A118, 'NZS O&amp;G and CA100'!$B$5:$B$193, 0),MATCH(G$3, 'NZS O&amp;G and CA100'!$E$3:$N$3, 0)),"")</f>
        <v>1</v>
      </c>
      <c r="H118" s="311">
        <f>IF(INDEX('NZS O&amp;G and CA100'!$D$5:$D$193, MATCH($A118, 'NZS O&amp;G and CA100'!$B$5:$B$193, 0)) =$B$4, INDEX('NZS O&amp;G and CA100'!$E$5:$N$193, MATCH($A118, 'NZS O&amp;G and CA100'!$B$5:$B$193, 0),MATCH(H$3, 'NZS O&amp;G and CA100'!$E$3:$N$3, 0)),"")</f>
        <v>1</v>
      </c>
      <c r="I118" s="311">
        <f>IF(INDEX('NZS O&amp;G and CA100'!$D$5:$D$193, MATCH($A118, 'NZS O&amp;G and CA100'!$B$5:$B$193, 0)) =$B$4, INDEX('NZS O&amp;G and CA100'!$E$5:$N$193, MATCH($A118, 'NZS O&amp;G and CA100'!$B$5:$B$193, 0),MATCH(I$3, 'NZS O&amp;G and CA100'!$E$3:$N$3, 0)),"")</f>
        <v>0</v>
      </c>
      <c r="J118" s="311">
        <f>IF(INDEX('NZS O&amp;G and CA100'!$D$5:$D$193, MATCH($A118, 'NZS O&amp;G and CA100'!$B$5:$B$193, 0)) =$B$4, INDEX('NZS O&amp;G and CA100'!$E$5:$N$193, MATCH($A118, 'NZS O&amp;G and CA100'!$B$5:$B$193, 0),MATCH(J$3, 'NZS O&amp;G and CA100'!$E$3:$N$3, 0)),"")</f>
        <v>1</v>
      </c>
      <c r="K118" s="311">
        <f>IF(INDEX('NZS O&amp;G and CA100'!$D$5:$D$193, MATCH($A118, 'NZS O&amp;G and CA100'!$B$5:$B$193, 0)) =$B$4, INDEX('NZS O&amp;G and CA100'!$E$5:$N$193, MATCH($A118, 'NZS O&amp;G and CA100'!$B$5:$B$193, 0),MATCH(K$3, 'NZS O&amp;G and CA100'!$E$3:$N$3, 0)),"")</f>
        <v>1</v>
      </c>
      <c r="L118" s="311">
        <f>IF(INDEX('NZS O&amp;G and CA100'!$D$5:$D$193, MATCH($A118, 'NZS O&amp;G and CA100'!$B$5:$B$193, 0)) =$B$4, INDEX('NZS O&amp;G and CA100'!$E$5:$N$193, MATCH($A118, 'NZS O&amp;G and CA100'!$B$5:$B$193, 0),MATCH(L$3, 'NZS O&amp;G and CA100'!$E$3:$N$3, 0)),"")</f>
        <v>0</v>
      </c>
      <c r="M118" s="312">
        <f>IF(INDEX('NZS O&amp;G and CA100'!$D$5:$D$193, MATCH($A118, 'NZS O&amp;G and CA100'!$B$5:$B$193, 0)) =$B$4, INDEX('NZS O&amp;G and CA100'!$E$5:$N$193, MATCH($A118, 'NZS O&amp;G and CA100'!$B$5:$B$193, 0),MATCH(M$3, 'NZS O&amp;G and CA100'!$E$3:$N$3, 0)),"")</f>
        <v>0</v>
      </c>
      <c r="O118" s="55" t="str">
        <f>IF(INDEX('NZS O&amp;G and CA100'!$D$5:$D$193, MATCH($A118, 'NZS O&amp;G and CA100'!$B$5:$B$193, 0)) = "Alignment", INDEX('NZS O&amp;G and CA100'!$E$5:$N$193, MATCH($A118, 'NZS O&amp;G and CA100'!$B$5:$B$193, 0),MATCH(O$4, 'NZS O&amp;G and CA100'!$E$3:$N$3, 0)),"")</f>
        <v/>
      </c>
      <c r="P118" s="56" t="str">
        <f>IF(INDEX('NZS O&amp;G and CA100'!$D$5:$D$193, MATCH($A118, 'NZS O&amp;G and CA100'!$B$5:$B$193, 0)) = "Alignment", INDEX('NZS O&amp;G and CA100'!$E$5:$N$193, MATCH($A118, 'NZS O&amp;G and CA100'!$B$5:$B$193, 0),MATCH(P$4, 'NZS O&amp;G and CA100'!$E$3:$N$3, 0)),"")</f>
        <v/>
      </c>
      <c r="Q118" s="56" t="str">
        <f>IF(INDEX('NZS O&amp;G and CA100'!$D$5:$D$193, MATCH($A118, 'NZS O&amp;G and CA100'!$B$5:$B$193, 0)) = "Alignment", INDEX('NZS O&amp;G and CA100'!$E$5:$N$193, MATCH($A118, 'NZS O&amp;G and CA100'!$B$5:$B$193, 0),MATCH(Q$4, 'NZS O&amp;G and CA100'!$E$3:$N$3, 0)),"")</f>
        <v/>
      </c>
      <c r="R118" s="56" t="str">
        <f>IF(INDEX('NZS O&amp;G and CA100'!$D$5:$D$193, MATCH($A118, 'NZS O&amp;G and CA100'!$B$5:$B$193, 0)) = "Alignment", INDEX('NZS O&amp;G and CA100'!$E$5:$N$193, MATCH($A118, 'NZS O&amp;G and CA100'!$B$5:$B$193, 0),MATCH(R$4, 'NZS O&amp;G and CA100'!$E$3:$N$3, 0)),"")</f>
        <v/>
      </c>
      <c r="S118" s="56" t="str">
        <f>IF(INDEX('NZS O&amp;G and CA100'!$D$5:$D$193, MATCH($A118, 'NZS O&amp;G and CA100'!$B$5:$B$193, 0)) = "Alignment", INDEX('NZS O&amp;G and CA100'!$E$5:$N$193, MATCH($A118, 'NZS O&amp;G and CA100'!$B$5:$B$193, 0),MATCH(S$4, 'NZS O&amp;G and CA100'!$E$3:$N$3, 0)),"")</f>
        <v/>
      </c>
      <c r="T118" s="56" t="str">
        <f>IF(INDEX('NZS O&amp;G and CA100'!$D$5:$D$193, MATCH($A118, 'NZS O&amp;G and CA100'!$B$5:$B$193, 0)) = "Alignment", INDEX('NZS O&amp;G and CA100'!$E$5:$N$193, MATCH($A118, 'NZS O&amp;G and CA100'!$B$5:$B$193, 0),MATCH(T$4, 'NZS O&amp;G and CA100'!$E$3:$N$3, 0)),"")</f>
        <v/>
      </c>
      <c r="U118" s="56" t="str">
        <f>IF(INDEX('NZS O&amp;G and CA100'!$D$5:$D$193, MATCH($A118, 'NZS O&amp;G and CA100'!$B$5:$B$193, 0)) = "Alignment", INDEX('NZS O&amp;G and CA100'!$E$5:$N$193, MATCH($A118, 'NZS O&amp;G and CA100'!$B$5:$B$193, 0),MATCH(U$4, 'NZS O&amp;G and CA100'!$E$3:$N$3, 0)),"")</f>
        <v/>
      </c>
      <c r="V118" s="56" t="str">
        <f>IF(INDEX('NZS O&amp;G and CA100'!$D$5:$D$193, MATCH($A118, 'NZS O&amp;G and CA100'!$B$5:$B$193, 0)) = "Alignment", INDEX('NZS O&amp;G and CA100'!$E$5:$N$193, MATCH($A118, 'NZS O&amp;G and CA100'!$B$5:$B$193, 0),MATCH(V$4, 'NZS O&amp;G and CA100'!$E$3:$N$3, 0)),"")</f>
        <v/>
      </c>
      <c r="W118" s="56" t="str">
        <f>IF(INDEX('NZS O&amp;G and CA100'!$D$5:$D$193, MATCH($A118, 'NZS O&amp;G and CA100'!$B$5:$B$193, 0)) = "Alignment", INDEX('NZS O&amp;G and CA100'!$E$5:$N$193, MATCH($A118, 'NZS O&amp;G and CA100'!$B$5:$B$193, 0),MATCH(L$3, 'NZS O&amp;G and CA100'!$E$3:$N$3, 0)),"")</f>
        <v/>
      </c>
      <c r="X118" s="57" t="str">
        <f>IF(INDEX('NZS O&amp;G and CA100'!$D$5:$D$193, MATCH($A118, 'NZS O&amp;G and CA100'!$B$5:$B$193, 0)) = "Alignment", INDEX('NZS O&amp;G and CA100'!$E$5:$N$193, MATCH($A118, 'NZS O&amp;G and CA100'!$B$5:$B$193, 0),MATCH(M$3, 'NZS O&amp;G and CA100'!$E$3:$N$3, 0)),"")</f>
        <v/>
      </c>
      <c r="Z118" s="55"/>
      <c r="AA118" s="56"/>
      <c r="AB118" s="56"/>
      <c r="AC118" s="56"/>
      <c r="AD118" s="56"/>
      <c r="AE118" s="56"/>
      <c r="AF118" s="56"/>
      <c r="AG118" s="56"/>
      <c r="AH118" s="56"/>
      <c r="AI118" s="57"/>
      <c r="AK118" s="49"/>
      <c r="AL118" s="49"/>
      <c r="AM118" s="49"/>
      <c r="AN118" s="49"/>
      <c r="AO118" s="49"/>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row>
    <row r="119" spans="1:108" s="1" customFormat="1" ht="20.149999999999999" customHeight="1" outlineLevel="2">
      <c r="A119" s="302" t="s">
        <v>355</v>
      </c>
      <c r="B119" s="235" t="s">
        <v>170</v>
      </c>
      <c r="C119" s="236" t="str">
        <f>VLOOKUP(A119, 'NZS O&amp;G and CA100'!$B$7:$D$194, 3, FALSE)</f>
        <v>Disclosure</v>
      </c>
      <c r="D119" s="310">
        <f>IF(INDEX('NZS O&amp;G and CA100'!$D$5:$D$193, MATCH($A119, 'NZS O&amp;G and CA100'!$B$5:$B$193, 0)) =$B$4, INDEX('NZS O&amp;G and CA100'!$E$5:$N$193, MATCH($A119, 'NZS O&amp;G and CA100'!$B$5:$B$193, 0),MATCH(D$3, 'NZS O&amp;G and CA100'!$E$3:$N$3, 0)),"")</f>
        <v>0</v>
      </c>
      <c r="E119" s="311">
        <f>IF(INDEX('NZS O&amp;G and CA100'!$D$5:$D$193, MATCH($A119, 'NZS O&amp;G and CA100'!$B$5:$B$193, 0)) =$B$4, INDEX('NZS O&amp;G and CA100'!$E$5:$N$193, MATCH($A119, 'NZS O&amp;G and CA100'!$B$5:$B$193, 0),MATCH(E$3, 'NZS O&amp;G and CA100'!$E$3:$N$3, 0)),"")</f>
        <v>0</v>
      </c>
      <c r="F119" s="311">
        <f>IF(INDEX('NZS O&amp;G and CA100'!$D$5:$D$193, MATCH($A119, 'NZS O&amp;G and CA100'!$B$5:$B$193, 0)) =$B$4, INDEX('NZS O&amp;G and CA100'!$E$5:$N$193, MATCH($A119, 'NZS O&amp;G and CA100'!$B$5:$B$193, 0),MATCH(F$3, 'NZS O&amp;G and CA100'!$E$3:$N$3, 0)),"")</f>
        <v>0</v>
      </c>
      <c r="G119" s="311">
        <f>IF(INDEX('NZS O&amp;G and CA100'!$D$5:$D$193, MATCH($A119, 'NZS O&amp;G and CA100'!$B$5:$B$193, 0)) =$B$4, INDEX('NZS O&amp;G and CA100'!$E$5:$N$193, MATCH($A119, 'NZS O&amp;G and CA100'!$B$5:$B$193, 0),MATCH(G$3, 'NZS O&amp;G and CA100'!$E$3:$N$3, 0)),"")</f>
        <v>1</v>
      </c>
      <c r="H119" s="311">
        <f>IF(INDEX('NZS O&amp;G and CA100'!$D$5:$D$193, MATCH($A119, 'NZS O&amp;G and CA100'!$B$5:$B$193, 0)) =$B$4, INDEX('NZS O&amp;G and CA100'!$E$5:$N$193, MATCH($A119, 'NZS O&amp;G and CA100'!$B$5:$B$193, 0),MATCH(H$3, 'NZS O&amp;G and CA100'!$E$3:$N$3, 0)),"")</f>
        <v>0</v>
      </c>
      <c r="I119" s="311">
        <f>IF(INDEX('NZS O&amp;G and CA100'!$D$5:$D$193, MATCH($A119, 'NZS O&amp;G and CA100'!$B$5:$B$193, 0)) =$B$4, INDEX('NZS O&amp;G and CA100'!$E$5:$N$193, MATCH($A119, 'NZS O&amp;G and CA100'!$B$5:$B$193, 0),MATCH(I$3, 'NZS O&amp;G and CA100'!$E$3:$N$3, 0)),"")</f>
        <v>0</v>
      </c>
      <c r="J119" s="311">
        <f>IF(INDEX('NZS O&amp;G and CA100'!$D$5:$D$193, MATCH($A119, 'NZS O&amp;G and CA100'!$B$5:$B$193, 0)) =$B$4, INDEX('NZS O&amp;G and CA100'!$E$5:$N$193, MATCH($A119, 'NZS O&amp;G and CA100'!$B$5:$B$193, 0),MATCH(J$3, 'NZS O&amp;G and CA100'!$E$3:$N$3, 0)),"")</f>
        <v>1</v>
      </c>
      <c r="K119" s="311">
        <f>IF(INDEX('NZS O&amp;G and CA100'!$D$5:$D$193, MATCH($A119, 'NZS O&amp;G and CA100'!$B$5:$B$193, 0)) =$B$4, INDEX('NZS O&amp;G and CA100'!$E$5:$N$193, MATCH($A119, 'NZS O&amp;G and CA100'!$B$5:$B$193, 0),MATCH(K$3, 'NZS O&amp;G and CA100'!$E$3:$N$3, 0)),"")</f>
        <v>0</v>
      </c>
      <c r="L119" s="311">
        <f>IF(INDEX('NZS O&amp;G and CA100'!$D$5:$D$193, MATCH($A119, 'NZS O&amp;G and CA100'!$B$5:$B$193, 0)) =$B$4, INDEX('NZS O&amp;G and CA100'!$E$5:$N$193, MATCH($A119, 'NZS O&amp;G and CA100'!$B$5:$B$193, 0),MATCH(L$3, 'NZS O&amp;G and CA100'!$E$3:$N$3, 0)),"")</f>
        <v>0</v>
      </c>
      <c r="M119" s="312">
        <f>IF(INDEX('NZS O&amp;G and CA100'!$D$5:$D$193, MATCH($A119, 'NZS O&amp;G and CA100'!$B$5:$B$193, 0)) =$B$4, INDEX('NZS O&amp;G and CA100'!$E$5:$N$193, MATCH($A119, 'NZS O&amp;G and CA100'!$B$5:$B$193, 0),MATCH(M$3, 'NZS O&amp;G and CA100'!$E$3:$N$3, 0)),"")</f>
        <v>1</v>
      </c>
      <c r="O119" s="55" t="str">
        <f>IF(INDEX('NZS O&amp;G and CA100'!$D$5:$D$193, MATCH($A119, 'NZS O&amp;G and CA100'!$B$5:$B$193, 0)) = "Alignment", INDEX('NZS O&amp;G and CA100'!$E$5:$N$193, MATCH($A119, 'NZS O&amp;G and CA100'!$B$5:$B$193, 0),MATCH(O$4, 'NZS O&amp;G and CA100'!$E$3:$N$3, 0)),"")</f>
        <v/>
      </c>
      <c r="P119" s="56" t="str">
        <f>IF(INDEX('NZS O&amp;G and CA100'!$D$5:$D$193, MATCH($A119, 'NZS O&amp;G and CA100'!$B$5:$B$193, 0)) = "Alignment", INDEX('NZS O&amp;G and CA100'!$E$5:$N$193, MATCH($A119, 'NZS O&amp;G and CA100'!$B$5:$B$193, 0),MATCH(P$4, 'NZS O&amp;G and CA100'!$E$3:$N$3, 0)),"")</f>
        <v/>
      </c>
      <c r="Q119" s="56" t="str">
        <f>IF(INDEX('NZS O&amp;G and CA100'!$D$5:$D$193, MATCH($A119, 'NZS O&amp;G and CA100'!$B$5:$B$193, 0)) = "Alignment", INDEX('NZS O&amp;G and CA100'!$E$5:$N$193, MATCH($A119, 'NZS O&amp;G and CA100'!$B$5:$B$193, 0),MATCH(Q$4, 'NZS O&amp;G and CA100'!$E$3:$N$3, 0)),"")</f>
        <v/>
      </c>
      <c r="R119" s="56" t="str">
        <f>IF(INDEX('NZS O&amp;G and CA100'!$D$5:$D$193, MATCH($A119, 'NZS O&amp;G and CA100'!$B$5:$B$193, 0)) = "Alignment", INDEX('NZS O&amp;G and CA100'!$E$5:$N$193, MATCH($A119, 'NZS O&amp;G and CA100'!$B$5:$B$193, 0),MATCH(R$4, 'NZS O&amp;G and CA100'!$E$3:$N$3, 0)),"")</f>
        <v/>
      </c>
      <c r="S119" s="56" t="str">
        <f>IF(INDEX('NZS O&amp;G and CA100'!$D$5:$D$193, MATCH($A119, 'NZS O&amp;G and CA100'!$B$5:$B$193, 0)) = "Alignment", INDEX('NZS O&amp;G and CA100'!$E$5:$N$193, MATCH($A119, 'NZS O&amp;G and CA100'!$B$5:$B$193, 0),MATCH(S$4, 'NZS O&amp;G and CA100'!$E$3:$N$3, 0)),"")</f>
        <v/>
      </c>
      <c r="T119" s="56" t="str">
        <f>IF(INDEX('NZS O&amp;G and CA100'!$D$5:$D$193, MATCH($A119, 'NZS O&amp;G and CA100'!$B$5:$B$193, 0)) = "Alignment", INDEX('NZS O&amp;G and CA100'!$E$5:$N$193, MATCH($A119, 'NZS O&amp;G and CA100'!$B$5:$B$193, 0),MATCH(T$4, 'NZS O&amp;G and CA100'!$E$3:$N$3, 0)),"")</f>
        <v/>
      </c>
      <c r="U119" s="56" t="str">
        <f>IF(INDEX('NZS O&amp;G and CA100'!$D$5:$D$193, MATCH($A119, 'NZS O&amp;G and CA100'!$B$5:$B$193, 0)) = "Alignment", INDEX('NZS O&amp;G and CA100'!$E$5:$N$193, MATCH($A119, 'NZS O&amp;G and CA100'!$B$5:$B$193, 0),MATCH(U$4, 'NZS O&amp;G and CA100'!$E$3:$N$3, 0)),"")</f>
        <v/>
      </c>
      <c r="V119" s="56" t="str">
        <f>IF(INDEX('NZS O&amp;G and CA100'!$D$5:$D$193, MATCH($A119, 'NZS O&amp;G and CA100'!$B$5:$B$193, 0)) = "Alignment", INDEX('NZS O&amp;G and CA100'!$E$5:$N$193, MATCH($A119, 'NZS O&amp;G and CA100'!$B$5:$B$193, 0),MATCH(V$4, 'NZS O&amp;G and CA100'!$E$3:$N$3, 0)),"")</f>
        <v/>
      </c>
      <c r="W119" s="56" t="str">
        <f>IF(INDEX('NZS O&amp;G and CA100'!$D$5:$D$193, MATCH($A119, 'NZS O&amp;G and CA100'!$B$5:$B$193, 0)) = "Alignment", INDEX('NZS O&amp;G and CA100'!$E$5:$N$193, MATCH($A119, 'NZS O&amp;G and CA100'!$B$5:$B$193, 0),MATCH(L$3, 'NZS O&amp;G and CA100'!$E$3:$N$3, 0)),"")</f>
        <v/>
      </c>
      <c r="X119" s="57" t="str">
        <f>IF(INDEX('NZS O&amp;G and CA100'!$D$5:$D$193, MATCH($A119, 'NZS O&amp;G and CA100'!$B$5:$B$193, 0)) = "Alignment", INDEX('NZS O&amp;G and CA100'!$E$5:$N$193, MATCH($A119, 'NZS O&amp;G and CA100'!$B$5:$B$193, 0),MATCH(M$3, 'NZS O&amp;G and CA100'!$E$3:$N$3, 0)),"")</f>
        <v/>
      </c>
      <c r="Z119" s="55"/>
      <c r="AA119" s="56"/>
      <c r="AB119" s="56"/>
      <c r="AC119" s="56"/>
      <c r="AD119" s="56"/>
      <c r="AE119" s="56"/>
      <c r="AF119" s="56"/>
      <c r="AG119" s="56"/>
      <c r="AH119" s="56"/>
      <c r="AI119" s="57"/>
      <c r="AK119" s="49"/>
      <c r="AL119" s="49"/>
      <c r="AM119" s="49"/>
      <c r="AN119" s="49"/>
      <c r="AO119" s="49"/>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row>
    <row r="120" spans="1:108" s="1" customFormat="1" ht="20.149999999999999" customHeight="1" outlineLevel="2">
      <c r="A120" s="302" t="s">
        <v>356</v>
      </c>
      <c r="B120" s="235" t="s">
        <v>171</v>
      </c>
      <c r="C120" s="236" t="str">
        <f>VLOOKUP(A120, 'NZS O&amp;G and CA100'!$B$7:$D$194, 3, FALSE)</f>
        <v>Disclosure</v>
      </c>
      <c r="D120" s="310">
        <f>IF(INDEX('NZS O&amp;G and CA100'!$D$5:$D$193, MATCH($A120, 'NZS O&amp;G and CA100'!$B$5:$B$193, 0)) =$B$4, INDEX('NZS O&amp;G and CA100'!$E$5:$N$193, MATCH($A120, 'NZS O&amp;G and CA100'!$B$5:$B$193, 0),MATCH(D$3, 'NZS O&amp;G and CA100'!$E$3:$N$3, 0)),"")</f>
        <v>0</v>
      </c>
      <c r="E120" s="311">
        <f>IF(INDEX('NZS O&amp;G and CA100'!$D$5:$D$193, MATCH($A120, 'NZS O&amp;G and CA100'!$B$5:$B$193, 0)) =$B$4, INDEX('NZS O&amp;G and CA100'!$E$5:$N$193, MATCH($A120, 'NZS O&amp;G and CA100'!$B$5:$B$193, 0),MATCH(E$3, 'NZS O&amp;G and CA100'!$E$3:$N$3, 0)),"")</f>
        <v>0</v>
      </c>
      <c r="F120" s="311">
        <f>IF(INDEX('NZS O&amp;G and CA100'!$D$5:$D$193, MATCH($A120, 'NZS O&amp;G and CA100'!$B$5:$B$193, 0)) =$B$4, INDEX('NZS O&amp;G and CA100'!$E$5:$N$193, MATCH($A120, 'NZS O&amp;G and CA100'!$B$5:$B$193, 0),MATCH(F$3, 'NZS O&amp;G and CA100'!$E$3:$N$3, 0)),"")</f>
        <v>0</v>
      </c>
      <c r="G120" s="311">
        <f>IF(INDEX('NZS O&amp;G and CA100'!$D$5:$D$193, MATCH($A120, 'NZS O&amp;G and CA100'!$B$5:$B$193, 0)) =$B$4, INDEX('NZS O&amp;G and CA100'!$E$5:$N$193, MATCH($A120, 'NZS O&amp;G and CA100'!$B$5:$B$193, 0),MATCH(G$3, 'NZS O&amp;G and CA100'!$E$3:$N$3, 0)),"")</f>
        <v>0</v>
      </c>
      <c r="H120" s="311">
        <f>IF(INDEX('NZS O&amp;G and CA100'!$D$5:$D$193, MATCH($A120, 'NZS O&amp;G and CA100'!$B$5:$B$193, 0)) =$B$4, INDEX('NZS O&amp;G and CA100'!$E$5:$N$193, MATCH($A120, 'NZS O&amp;G and CA100'!$B$5:$B$193, 0),MATCH(H$3, 'NZS O&amp;G and CA100'!$E$3:$N$3, 0)),"")</f>
        <v>0</v>
      </c>
      <c r="I120" s="311">
        <f>IF(INDEX('NZS O&amp;G and CA100'!$D$5:$D$193, MATCH($A120, 'NZS O&amp;G and CA100'!$B$5:$B$193, 0)) =$B$4, INDEX('NZS O&amp;G and CA100'!$E$5:$N$193, MATCH($A120, 'NZS O&amp;G and CA100'!$B$5:$B$193, 0),MATCH(I$3, 'NZS O&amp;G and CA100'!$E$3:$N$3, 0)),"")</f>
        <v>0</v>
      </c>
      <c r="J120" s="311">
        <f>IF(INDEX('NZS O&amp;G and CA100'!$D$5:$D$193, MATCH($A120, 'NZS O&amp;G and CA100'!$B$5:$B$193, 0)) =$B$4, INDEX('NZS O&amp;G and CA100'!$E$5:$N$193, MATCH($A120, 'NZS O&amp;G and CA100'!$B$5:$B$193, 0),MATCH(J$3, 'NZS O&amp;G and CA100'!$E$3:$N$3, 0)),"")</f>
        <v>0</v>
      </c>
      <c r="K120" s="311">
        <f>IF(INDEX('NZS O&amp;G and CA100'!$D$5:$D$193, MATCH($A120, 'NZS O&amp;G and CA100'!$B$5:$B$193, 0)) =$B$4, INDEX('NZS O&amp;G and CA100'!$E$5:$N$193, MATCH($A120, 'NZS O&amp;G and CA100'!$B$5:$B$193, 0),MATCH(K$3, 'NZS O&amp;G and CA100'!$E$3:$N$3, 0)),"")</f>
        <v>0</v>
      </c>
      <c r="L120" s="311">
        <f>IF(INDEX('NZS O&amp;G and CA100'!$D$5:$D$193, MATCH($A120, 'NZS O&amp;G and CA100'!$B$5:$B$193, 0)) =$B$4, INDEX('NZS O&amp;G and CA100'!$E$5:$N$193, MATCH($A120, 'NZS O&amp;G and CA100'!$B$5:$B$193, 0),MATCH(L$3, 'NZS O&amp;G and CA100'!$E$3:$N$3, 0)),"")</f>
        <v>0</v>
      </c>
      <c r="M120" s="312">
        <f>IF(INDEX('NZS O&amp;G and CA100'!$D$5:$D$193, MATCH($A120, 'NZS O&amp;G and CA100'!$B$5:$B$193, 0)) =$B$4, INDEX('NZS O&amp;G and CA100'!$E$5:$N$193, MATCH($A120, 'NZS O&amp;G and CA100'!$B$5:$B$193, 0),MATCH(M$3, 'NZS O&amp;G and CA100'!$E$3:$N$3, 0)),"")</f>
        <v>0</v>
      </c>
      <c r="O120" s="55" t="str">
        <f>IF(INDEX('NZS O&amp;G and CA100'!$D$5:$D$193, MATCH($A120, 'NZS O&amp;G and CA100'!$B$5:$B$193, 0)) = "Alignment", INDEX('NZS O&amp;G and CA100'!$E$5:$N$193, MATCH($A120, 'NZS O&amp;G and CA100'!$B$5:$B$193, 0),MATCH(O$4, 'NZS O&amp;G and CA100'!$E$3:$N$3, 0)),"")</f>
        <v/>
      </c>
      <c r="P120" s="56" t="str">
        <f>IF(INDEX('NZS O&amp;G and CA100'!$D$5:$D$193, MATCH($A120, 'NZS O&amp;G and CA100'!$B$5:$B$193, 0)) = "Alignment", INDEX('NZS O&amp;G and CA100'!$E$5:$N$193, MATCH($A120, 'NZS O&amp;G and CA100'!$B$5:$B$193, 0),MATCH(P$4, 'NZS O&amp;G and CA100'!$E$3:$N$3, 0)),"")</f>
        <v/>
      </c>
      <c r="Q120" s="56" t="str">
        <f>IF(INDEX('NZS O&amp;G and CA100'!$D$5:$D$193, MATCH($A120, 'NZS O&amp;G and CA100'!$B$5:$B$193, 0)) = "Alignment", INDEX('NZS O&amp;G and CA100'!$E$5:$N$193, MATCH($A120, 'NZS O&amp;G and CA100'!$B$5:$B$193, 0),MATCH(Q$4, 'NZS O&amp;G and CA100'!$E$3:$N$3, 0)),"")</f>
        <v/>
      </c>
      <c r="R120" s="56" t="str">
        <f>IF(INDEX('NZS O&amp;G and CA100'!$D$5:$D$193, MATCH($A120, 'NZS O&amp;G and CA100'!$B$5:$B$193, 0)) = "Alignment", INDEX('NZS O&amp;G and CA100'!$E$5:$N$193, MATCH($A120, 'NZS O&amp;G and CA100'!$B$5:$B$193, 0),MATCH(R$4, 'NZS O&amp;G and CA100'!$E$3:$N$3, 0)),"")</f>
        <v/>
      </c>
      <c r="S120" s="56" t="str">
        <f>IF(INDEX('NZS O&amp;G and CA100'!$D$5:$D$193, MATCH($A120, 'NZS O&amp;G and CA100'!$B$5:$B$193, 0)) = "Alignment", INDEX('NZS O&amp;G and CA100'!$E$5:$N$193, MATCH($A120, 'NZS O&amp;G and CA100'!$B$5:$B$193, 0),MATCH(S$4, 'NZS O&amp;G and CA100'!$E$3:$N$3, 0)),"")</f>
        <v/>
      </c>
      <c r="T120" s="56" t="str">
        <f>IF(INDEX('NZS O&amp;G and CA100'!$D$5:$D$193, MATCH($A120, 'NZS O&amp;G and CA100'!$B$5:$B$193, 0)) = "Alignment", INDEX('NZS O&amp;G and CA100'!$E$5:$N$193, MATCH($A120, 'NZS O&amp;G and CA100'!$B$5:$B$193, 0),MATCH(T$4, 'NZS O&amp;G and CA100'!$E$3:$N$3, 0)),"")</f>
        <v/>
      </c>
      <c r="U120" s="56" t="str">
        <f>IF(INDEX('NZS O&amp;G and CA100'!$D$5:$D$193, MATCH($A120, 'NZS O&amp;G and CA100'!$B$5:$B$193, 0)) = "Alignment", INDEX('NZS O&amp;G and CA100'!$E$5:$N$193, MATCH($A120, 'NZS O&amp;G and CA100'!$B$5:$B$193, 0),MATCH(U$4, 'NZS O&amp;G and CA100'!$E$3:$N$3, 0)),"")</f>
        <v/>
      </c>
      <c r="V120" s="56" t="str">
        <f>IF(INDEX('NZS O&amp;G and CA100'!$D$5:$D$193, MATCH($A120, 'NZS O&amp;G and CA100'!$B$5:$B$193, 0)) = "Alignment", INDEX('NZS O&amp;G and CA100'!$E$5:$N$193, MATCH($A120, 'NZS O&amp;G and CA100'!$B$5:$B$193, 0),MATCH(V$4, 'NZS O&amp;G and CA100'!$E$3:$N$3, 0)),"")</f>
        <v/>
      </c>
      <c r="W120" s="56" t="str">
        <f>IF(INDEX('NZS O&amp;G and CA100'!$D$5:$D$193, MATCH($A120, 'NZS O&amp;G and CA100'!$B$5:$B$193, 0)) = "Alignment", INDEX('NZS O&amp;G and CA100'!$E$5:$N$193, MATCH($A120, 'NZS O&amp;G and CA100'!$B$5:$B$193, 0),MATCH(L$3, 'NZS O&amp;G and CA100'!$E$3:$N$3, 0)),"")</f>
        <v/>
      </c>
      <c r="X120" s="57" t="str">
        <f>IF(INDEX('NZS O&amp;G and CA100'!$D$5:$D$193, MATCH($A120, 'NZS O&amp;G and CA100'!$B$5:$B$193, 0)) = "Alignment", INDEX('NZS O&amp;G and CA100'!$E$5:$N$193, MATCH($A120, 'NZS O&amp;G and CA100'!$B$5:$B$193, 0),MATCH(M$3, 'NZS O&amp;G and CA100'!$E$3:$N$3, 0)),"")</f>
        <v/>
      </c>
      <c r="Z120" s="55"/>
      <c r="AA120" s="56"/>
      <c r="AB120" s="56"/>
      <c r="AC120" s="56"/>
      <c r="AD120" s="56"/>
      <c r="AE120" s="56"/>
      <c r="AF120" s="56"/>
      <c r="AG120" s="56"/>
      <c r="AH120" s="56"/>
      <c r="AI120" s="57"/>
      <c r="AK120" s="49"/>
      <c r="AL120" s="49"/>
      <c r="AM120" s="49"/>
      <c r="AN120" s="49"/>
      <c r="AO120" s="49"/>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row>
    <row r="121" spans="1:108" s="1" customFormat="1" ht="20.149999999999999" customHeight="1" outlineLevel="2">
      <c r="A121" s="302" t="s">
        <v>357</v>
      </c>
      <c r="B121" s="235" t="s">
        <v>172</v>
      </c>
      <c r="C121" s="236" t="str">
        <f>VLOOKUP(A121, 'NZS O&amp;G and CA100'!$B$7:$D$194, 3, FALSE)</f>
        <v>Disclosure</v>
      </c>
      <c r="D121" s="310">
        <f>IF(INDEX('NZS O&amp;G and CA100'!$D$5:$D$193, MATCH($A121, 'NZS O&amp;G and CA100'!$B$5:$B$193, 0)) =$B$4, INDEX('NZS O&amp;G and CA100'!$E$5:$N$193, MATCH($A121, 'NZS O&amp;G and CA100'!$B$5:$B$193, 0),MATCH(D$3, 'NZS O&amp;G and CA100'!$E$3:$N$3, 0)),"")</f>
        <v>0</v>
      </c>
      <c r="E121" s="311">
        <f>IF(INDEX('NZS O&amp;G and CA100'!$D$5:$D$193, MATCH($A121, 'NZS O&amp;G and CA100'!$B$5:$B$193, 0)) =$B$4, INDEX('NZS O&amp;G and CA100'!$E$5:$N$193, MATCH($A121, 'NZS O&amp;G and CA100'!$B$5:$B$193, 0),MATCH(E$3, 'NZS O&amp;G and CA100'!$E$3:$N$3, 0)),"")</f>
        <v>0</v>
      </c>
      <c r="F121" s="311">
        <f>IF(INDEX('NZS O&amp;G and CA100'!$D$5:$D$193, MATCH($A121, 'NZS O&amp;G and CA100'!$B$5:$B$193, 0)) =$B$4, INDEX('NZS O&amp;G and CA100'!$E$5:$N$193, MATCH($A121, 'NZS O&amp;G and CA100'!$B$5:$B$193, 0),MATCH(F$3, 'NZS O&amp;G and CA100'!$E$3:$N$3, 0)),"")</f>
        <v>0</v>
      </c>
      <c r="G121" s="311">
        <f>IF(INDEX('NZS O&amp;G and CA100'!$D$5:$D$193, MATCH($A121, 'NZS O&amp;G and CA100'!$B$5:$B$193, 0)) =$B$4, INDEX('NZS O&amp;G and CA100'!$E$5:$N$193, MATCH($A121, 'NZS O&amp;G and CA100'!$B$5:$B$193, 0),MATCH(G$3, 'NZS O&amp;G and CA100'!$E$3:$N$3, 0)),"")</f>
        <v>0</v>
      </c>
      <c r="H121" s="311">
        <f>IF(INDEX('NZS O&amp;G and CA100'!$D$5:$D$193, MATCH($A121, 'NZS O&amp;G and CA100'!$B$5:$B$193, 0)) =$B$4, INDEX('NZS O&amp;G and CA100'!$E$5:$N$193, MATCH($A121, 'NZS O&amp;G and CA100'!$B$5:$B$193, 0),MATCH(H$3, 'NZS O&amp;G and CA100'!$E$3:$N$3, 0)),"")</f>
        <v>0</v>
      </c>
      <c r="I121" s="311">
        <f>IF(INDEX('NZS O&amp;G and CA100'!$D$5:$D$193, MATCH($A121, 'NZS O&amp;G and CA100'!$B$5:$B$193, 0)) =$B$4, INDEX('NZS O&amp;G and CA100'!$E$5:$N$193, MATCH($A121, 'NZS O&amp;G and CA100'!$B$5:$B$193, 0),MATCH(I$3, 'NZS O&amp;G and CA100'!$E$3:$N$3, 0)),"")</f>
        <v>0</v>
      </c>
      <c r="J121" s="311">
        <f>IF(INDEX('NZS O&amp;G and CA100'!$D$5:$D$193, MATCH($A121, 'NZS O&amp;G and CA100'!$B$5:$B$193, 0)) =$B$4, INDEX('NZS O&amp;G and CA100'!$E$5:$N$193, MATCH($A121, 'NZS O&amp;G and CA100'!$B$5:$B$193, 0),MATCH(J$3, 'NZS O&amp;G and CA100'!$E$3:$N$3, 0)),"")</f>
        <v>0</v>
      </c>
      <c r="K121" s="311">
        <f>IF(INDEX('NZS O&amp;G and CA100'!$D$5:$D$193, MATCH($A121, 'NZS O&amp;G and CA100'!$B$5:$B$193, 0)) =$B$4, INDEX('NZS O&amp;G and CA100'!$E$5:$N$193, MATCH($A121, 'NZS O&amp;G and CA100'!$B$5:$B$193, 0),MATCH(K$3, 'NZS O&amp;G and CA100'!$E$3:$N$3, 0)),"")</f>
        <v>0</v>
      </c>
      <c r="L121" s="311">
        <f>IF(INDEX('NZS O&amp;G and CA100'!$D$5:$D$193, MATCH($A121, 'NZS O&amp;G and CA100'!$B$5:$B$193, 0)) =$B$4, INDEX('NZS O&amp;G and CA100'!$E$5:$N$193, MATCH($A121, 'NZS O&amp;G and CA100'!$B$5:$B$193, 0),MATCH(L$3, 'NZS O&amp;G and CA100'!$E$3:$N$3, 0)),"")</f>
        <v>0</v>
      </c>
      <c r="M121" s="312">
        <f>IF(INDEX('NZS O&amp;G and CA100'!$D$5:$D$193, MATCH($A121, 'NZS O&amp;G and CA100'!$B$5:$B$193, 0)) =$B$4, INDEX('NZS O&amp;G and CA100'!$E$5:$N$193, MATCH($A121, 'NZS O&amp;G and CA100'!$B$5:$B$193, 0),MATCH(M$3, 'NZS O&amp;G and CA100'!$E$3:$N$3, 0)),"")</f>
        <v>0</v>
      </c>
      <c r="O121" s="55" t="str">
        <f>IF(INDEX('NZS O&amp;G and CA100'!$D$5:$D$193, MATCH($A121, 'NZS O&amp;G and CA100'!$B$5:$B$193, 0)) = "Alignment", INDEX('NZS O&amp;G and CA100'!$E$5:$N$193, MATCH($A121, 'NZS O&amp;G and CA100'!$B$5:$B$193, 0),MATCH(O$4, 'NZS O&amp;G and CA100'!$E$3:$N$3, 0)),"")</f>
        <v/>
      </c>
      <c r="P121" s="56" t="str">
        <f>IF(INDEX('NZS O&amp;G and CA100'!$D$5:$D$193, MATCH($A121, 'NZS O&amp;G and CA100'!$B$5:$B$193, 0)) = "Alignment", INDEX('NZS O&amp;G and CA100'!$E$5:$N$193, MATCH($A121, 'NZS O&amp;G and CA100'!$B$5:$B$193, 0),MATCH(P$4, 'NZS O&amp;G and CA100'!$E$3:$N$3, 0)),"")</f>
        <v/>
      </c>
      <c r="Q121" s="56" t="str">
        <f>IF(INDEX('NZS O&amp;G and CA100'!$D$5:$D$193, MATCH($A121, 'NZS O&amp;G and CA100'!$B$5:$B$193, 0)) = "Alignment", INDEX('NZS O&amp;G and CA100'!$E$5:$N$193, MATCH($A121, 'NZS O&amp;G and CA100'!$B$5:$B$193, 0),MATCH(Q$4, 'NZS O&amp;G and CA100'!$E$3:$N$3, 0)),"")</f>
        <v/>
      </c>
      <c r="R121" s="56" t="str">
        <f>IF(INDEX('NZS O&amp;G and CA100'!$D$5:$D$193, MATCH($A121, 'NZS O&amp;G and CA100'!$B$5:$B$193, 0)) = "Alignment", INDEX('NZS O&amp;G and CA100'!$E$5:$N$193, MATCH($A121, 'NZS O&amp;G and CA100'!$B$5:$B$193, 0),MATCH(R$4, 'NZS O&amp;G and CA100'!$E$3:$N$3, 0)),"")</f>
        <v/>
      </c>
      <c r="S121" s="56" t="str">
        <f>IF(INDEX('NZS O&amp;G and CA100'!$D$5:$D$193, MATCH($A121, 'NZS O&amp;G and CA100'!$B$5:$B$193, 0)) = "Alignment", INDEX('NZS O&amp;G and CA100'!$E$5:$N$193, MATCH($A121, 'NZS O&amp;G and CA100'!$B$5:$B$193, 0),MATCH(S$4, 'NZS O&amp;G and CA100'!$E$3:$N$3, 0)),"")</f>
        <v/>
      </c>
      <c r="T121" s="56" t="str">
        <f>IF(INDEX('NZS O&amp;G and CA100'!$D$5:$D$193, MATCH($A121, 'NZS O&amp;G and CA100'!$B$5:$B$193, 0)) = "Alignment", INDEX('NZS O&amp;G and CA100'!$E$5:$N$193, MATCH($A121, 'NZS O&amp;G and CA100'!$B$5:$B$193, 0),MATCH(T$4, 'NZS O&amp;G and CA100'!$E$3:$N$3, 0)),"")</f>
        <v/>
      </c>
      <c r="U121" s="56" t="str">
        <f>IF(INDEX('NZS O&amp;G and CA100'!$D$5:$D$193, MATCH($A121, 'NZS O&amp;G and CA100'!$B$5:$B$193, 0)) = "Alignment", INDEX('NZS O&amp;G and CA100'!$E$5:$N$193, MATCH($A121, 'NZS O&amp;G and CA100'!$B$5:$B$193, 0),MATCH(U$4, 'NZS O&amp;G and CA100'!$E$3:$N$3, 0)),"")</f>
        <v/>
      </c>
      <c r="V121" s="56" t="str">
        <f>IF(INDEX('NZS O&amp;G and CA100'!$D$5:$D$193, MATCH($A121, 'NZS O&amp;G and CA100'!$B$5:$B$193, 0)) = "Alignment", INDEX('NZS O&amp;G and CA100'!$E$5:$N$193, MATCH($A121, 'NZS O&amp;G and CA100'!$B$5:$B$193, 0),MATCH(V$4, 'NZS O&amp;G and CA100'!$E$3:$N$3, 0)),"")</f>
        <v/>
      </c>
      <c r="W121" s="56" t="str">
        <f>IF(INDEX('NZS O&amp;G and CA100'!$D$5:$D$193, MATCH($A121, 'NZS O&amp;G and CA100'!$B$5:$B$193, 0)) = "Alignment", INDEX('NZS O&amp;G and CA100'!$E$5:$N$193, MATCH($A121, 'NZS O&amp;G and CA100'!$B$5:$B$193, 0),MATCH(L$3, 'NZS O&amp;G and CA100'!$E$3:$N$3, 0)),"")</f>
        <v/>
      </c>
      <c r="X121" s="57" t="str">
        <f>IF(INDEX('NZS O&amp;G and CA100'!$D$5:$D$193, MATCH($A121, 'NZS O&amp;G and CA100'!$B$5:$B$193, 0)) = "Alignment", INDEX('NZS O&amp;G and CA100'!$E$5:$N$193, MATCH($A121, 'NZS O&amp;G and CA100'!$B$5:$B$193, 0),MATCH(M$3, 'NZS O&amp;G and CA100'!$E$3:$N$3, 0)),"")</f>
        <v/>
      </c>
      <c r="Z121" s="55"/>
      <c r="AA121" s="56"/>
      <c r="AB121" s="56"/>
      <c r="AC121" s="56"/>
      <c r="AD121" s="56"/>
      <c r="AE121" s="56"/>
      <c r="AF121" s="56"/>
      <c r="AG121" s="56"/>
      <c r="AH121" s="56"/>
      <c r="AI121" s="57"/>
      <c r="AK121" s="49"/>
      <c r="AL121" s="49"/>
      <c r="AM121" s="49"/>
      <c r="AN121" s="49"/>
      <c r="AO121" s="49"/>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row>
    <row r="122" spans="1:108" s="1" customFormat="1" ht="20.149999999999999" customHeight="1" outlineLevel="2">
      <c r="A122" s="302" t="s">
        <v>358</v>
      </c>
      <c r="B122" s="235" t="s">
        <v>173</v>
      </c>
      <c r="C122" s="236" t="str">
        <f>VLOOKUP(A122, 'NZS O&amp;G and CA100'!$B$7:$D$194, 3, FALSE)</f>
        <v>Alignment</v>
      </c>
      <c r="D122" s="310" t="str">
        <f>IF(INDEX('NZS O&amp;G and CA100'!$D$5:$D$193, MATCH($A122, 'NZS O&amp;G and CA100'!$B$5:$B$193, 0)) =$B$4, INDEX('NZS O&amp;G and CA100'!$E$5:$N$193, MATCH($A122, 'NZS O&amp;G and CA100'!$B$5:$B$193, 0),MATCH(D$3, 'NZS O&amp;G and CA100'!$E$3:$N$3, 0)),"")</f>
        <v/>
      </c>
      <c r="E122" s="311" t="str">
        <f>IF(INDEX('NZS O&amp;G and CA100'!$D$5:$D$193, MATCH($A122, 'NZS O&amp;G and CA100'!$B$5:$B$193, 0)) =$B$4, INDEX('NZS O&amp;G and CA100'!$E$5:$N$193, MATCH($A122, 'NZS O&amp;G and CA100'!$B$5:$B$193, 0),MATCH(E$3, 'NZS O&amp;G and CA100'!$E$3:$N$3, 0)),"")</f>
        <v/>
      </c>
      <c r="F122" s="311" t="str">
        <f>IF(INDEX('NZS O&amp;G and CA100'!$D$5:$D$193, MATCH($A122, 'NZS O&amp;G and CA100'!$B$5:$B$193, 0)) =$B$4, INDEX('NZS O&amp;G and CA100'!$E$5:$N$193, MATCH($A122, 'NZS O&amp;G and CA100'!$B$5:$B$193, 0),MATCH(F$3, 'NZS O&amp;G and CA100'!$E$3:$N$3, 0)),"")</f>
        <v/>
      </c>
      <c r="G122" s="311" t="str">
        <f>IF(INDEX('NZS O&amp;G and CA100'!$D$5:$D$193, MATCH($A122, 'NZS O&amp;G and CA100'!$B$5:$B$193, 0)) =$B$4, INDEX('NZS O&amp;G and CA100'!$E$5:$N$193, MATCH($A122, 'NZS O&amp;G and CA100'!$B$5:$B$193, 0),MATCH(G$3, 'NZS O&amp;G and CA100'!$E$3:$N$3, 0)),"")</f>
        <v/>
      </c>
      <c r="H122" s="311" t="str">
        <f>IF(INDEX('NZS O&amp;G and CA100'!$D$5:$D$193, MATCH($A122, 'NZS O&amp;G and CA100'!$B$5:$B$193, 0)) =$B$4, INDEX('NZS O&amp;G and CA100'!$E$5:$N$193, MATCH($A122, 'NZS O&amp;G and CA100'!$B$5:$B$193, 0),MATCH(H$3, 'NZS O&amp;G and CA100'!$E$3:$N$3, 0)),"")</f>
        <v/>
      </c>
      <c r="I122" s="311" t="str">
        <f>IF(INDEX('NZS O&amp;G and CA100'!$D$5:$D$193, MATCH($A122, 'NZS O&amp;G and CA100'!$B$5:$B$193, 0)) =$B$4, INDEX('NZS O&amp;G and CA100'!$E$5:$N$193, MATCH($A122, 'NZS O&amp;G and CA100'!$B$5:$B$193, 0),MATCH(I$3, 'NZS O&amp;G and CA100'!$E$3:$N$3, 0)),"")</f>
        <v/>
      </c>
      <c r="J122" s="311" t="str">
        <f>IF(INDEX('NZS O&amp;G and CA100'!$D$5:$D$193, MATCH($A122, 'NZS O&amp;G and CA100'!$B$5:$B$193, 0)) =$B$4, INDEX('NZS O&amp;G and CA100'!$E$5:$N$193, MATCH($A122, 'NZS O&amp;G and CA100'!$B$5:$B$193, 0),MATCH(J$3, 'NZS O&amp;G and CA100'!$E$3:$N$3, 0)),"")</f>
        <v/>
      </c>
      <c r="K122" s="311" t="str">
        <f>IF(INDEX('NZS O&amp;G and CA100'!$D$5:$D$193, MATCH($A122, 'NZS O&amp;G and CA100'!$B$5:$B$193, 0)) =$B$4, INDEX('NZS O&amp;G and CA100'!$E$5:$N$193, MATCH($A122, 'NZS O&amp;G and CA100'!$B$5:$B$193, 0),MATCH(K$3, 'NZS O&amp;G and CA100'!$E$3:$N$3, 0)),"")</f>
        <v/>
      </c>
      <c r="L122" s="311" t="str">
        <f>IF(INDEX('NZS O&amp;G and CA100'!$D$5:$D$193, MATCH($A122, 'NZS O&amp;G and CA100'!$B$5:$B$193, 0)) =$B$4, INDEX('NZS O&amp;G and CA100'!$E$5:$N$193, MATCH($A122, 'NZS O&amp;G and CA100'!$B$5:$B$193, 0),MATCH(L$3, 'NZS O&amp;G and CA100'!$E$3:$N$3, 0)),"")</f>
        <v/>
      </c>
      <c r="M122" s="312" t="str">
        <f>IF(INDEX('NZS O&amp;G and CA100'!$D$5:$D$193, MATCH($A122, 'NZS O&amp;G and CA100'!$B$5:$B$193, 0)) =$B$4, INDEX('NZS O&amp;G and CA100'!$E$5:$N$193, MATCH($A122, 'NZS O&amp;G and CA100'!$B$5:$B$193, 0),MATCH(M$3, 'NZS O&amp;G and CA100'!$E$3:$N$3, 0)),"")</f>
        <v/>
      </c>
      <c r="O122" s="185" t="str">
        <f>IF(INDEX('NZS O&amp;G and CA100'!$D$5:$D$193, MATCH($A122, 'NZS O&amp;G and CA100'!$B$5:$B$193, 0)) = "Alignment", INDEX('NZS O&amp;G and CA100'!$E$5:$N$193, MATCH($A122, 'NZS O&amp;G and CA100'!$B$5:$B$193, 0),MATCH(O$4, 'NZS O&amp;G and CA100'!$E$3:$N$3, 0)),"")</f>
        <v>Under development</v>
      </c>
      <c r="P122" s="186" t="str">
        <f>IF(INDEX('NZS O&amp;G and CA100'!$D$5:$D$193, MATCH($A122, 'NZS O&amp;G and CA100'!$B$5:$B$193, 0)) = "Alignment", INDEX('NZS O&amp;G and CA100'!$E$5:$N$193, MATCH($A122, 'NZS O&amp;G and CA100'!$B$5:$B$193, 0),MATCH(P$4, 'NZS O&amp;G and CA100'!$E$3:$N$3, 0)),"")</f>
        <v>Under development</v>
      </c>
      <c r="Q122" s="186" t="str">
        <f>IF(INDEX('NZS O&amp;G and CA100'!$D$5:$D$193, MATCH($A122, 'NZS O&amp;G and CA100'!$B$5:$B$193, 0)) = "Alignment", INDEX('NZS O&amp;G and CA100'!$E$5:$N$193, MATCH($A122, 'NZS O&amp;G and CA100'!$B$5:$B$193, 0),MATCH(Q$4, 'NZS O&amp;G and CA100'!$E$3:$N$3, 0)),"")</f>
        <v>Under development</v>
      </c>
      <c r="R122" s="186" t="str">
        <f>IF(INDEX('NZS O&amp;G and CA100'!$D$5:$D$193, MATCH($A122, 'NZS O&amp;G and CA100'!$B$5:$B$193, 0)) = "Alignment", INDEX('NZS O&amp;G and CA100'!$E$5:$N$193, MATCH($A122, 'NZS O&amp;G and CA100'!$B$5:$B$193, 0),MATCH(R$4, 'NZS O&amp;G and CA100'!$E$3:$N$3, 0)),"")</f>
        <v>Under development</v>
      </c>
      <c r="S122" s="186" t="str">
        <f>IF(INDEX('NZS O&amp;G and CA100'!$D$5:$D$193, MATCH($A122, 'NZS O&amp;G and CA100'!$B$5:$B$193, 0)) = "Alignment", INDEX('NZS O&amp;G and CA100'!$E$5:$N$193, MATCH($A122, 'NZS O&amp;G and CA100'!$B$5:$B$193, 0),MATCH(S$4, 'NZS O&amp;G and CA100'!$E$3:$N$3, 0)),"")</f>
        <v>Under development</v>
      </c>
      <c r="T122" s="186" t="str">
        <f>IF(INDEX('NZS O&amp;G and CA100'!$D$5:$D$193, MATCH($A122, 'NZS O&amp;G and CA100'!$B$5:$B$193, 0)) = "Alignment", INDEX('NZS O&amp;G and CA100'!$E$5:$N$193, MATCH($A122, 'NZS O&amp;G and CA100'!$B$5:$B$193, 0),MATCH(T$4, 'NZS O&amp;G and CA100'!$E$3:$N$3, 0)),"")</f>
        <v>Under development</v>
      </c>
      <c r="U122" s="186" t="str">
        <f>IF(INDEX('NZS O&amp;G and CA100'!$D$5:$D$193, MATCH($A122, 'NZS O&amp;G and CA100'!$B$5:$B$193, 0)) = "Alignment", INDEX('NZS O&amp;G and CA100'!$E$5:$N$193, MATCH($A122, 'NZS O&amp;G and CA100'!$B$5:$B$193, 0),MATCH(U$4, 'NZS O&amp;G and CA100'!$E$3:$N$3, 0)),"")</f>
        <v>Under development</v>
      </c>
      <c r="V122" s="186" t="str">
        <f>IF(INDEX('NZS O&amp;G and CA100'!$D$5:$D$193, MATCH($A122, 'NZS O&amp;G and CA100'!$B$5:$B$193, 0)) = "Alignment", INDEX('NZS O&amp;G and CA100'!$E$5:$N$193, MATCH($A122, 'NZS O&amp;G and CA100'!$B$5:$B$193, 0),MATCH(V$4, 'NZS O&amp;G and CA100'!$E$3:$N$3, 0)),"")</f>
        <v>Under development</v>
      </c>
      <c r="W122" s="186" t="str">
        <f>IF(INDEX('NZS O&amp;G and CA100'!$D$5:$D$193, MATCH($A122, 'NZS O&amp;G and CA100'!$B$5:$B$193, 0)) = "Alignment", INDEX('NZS O&amp;G and CA100'!$E$5:$N$193, MATCH($A122, 'NZS O&amp;G and CA100'!$B$5:$B$193, 0),MATCH(L$3, 'NZS O&amp;G and CA100'!$E$3:$N$3, 0)),"")</f>
        <v>Under development</v>
      </c>
      <c r="X122" s="187" t="str">
        <f>IF(INDEX('NZS O&amp;G and CA100'!$D$5:$D$193, MATCH($A122, 'NZS O&amp;G and CA100'!$B$5:$B$193, 0)) = "Alignment", INDEX('NZS O&amp;G and CA100'!$E$5:$N$193, MATCH($A122, 'NZS O&amp;G and CA100'!$B$5:$B$193, 0),MATCH(M$3, 'NZS O&amp;G and CA100'!$E$3:$N$3, 0)),"")</f>
        <v>Under development</v>
      </c>
      <c r="Z122" s="55"/>
      <c r="AA122" s="56"/>
      <c r="AB122" s="56"/>
      <c r="AC122" s="56"/>
      <c r="AD122" s="56"/>
      <c r="AE122" s="56"/>
      <c r="AF122" s="56"/>
      <c r="AG122" s="56"/>
      <c r="AH122" s="56"/>
      <c r="AI122" s="57"/>
      <c r="AK122" s="49"/>
      <c r="AL122" s="49"/>
      <c r="AM122" s="49"/>
      <c r="AN122" s="49"/>
      <c r="AO122" s="49"/>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row>
    <row r="123" spans="1:108" s="1" customFormat="1" ht="20.149999999999999" customHeight="1" outlineLevel="2">
      <c r="A123" s="302" t="s">
        <v>359</v>
      </c>
      <c r="B123" s="235" t="s">
        <v>174</v>
      </c>
      <c r="C123" s="236" t="str">
        <f>VLOOKUP(A123, 'NZS O&amp;G and CA100'!$B$7:$D$194, 3, FALSE)</f>
        <v>Disclosure</v>
      </c>
      <c r="D123" s="310">
        <f>IF(INDEX('NZS O&amp;G and CA100'!$D$5:$D$193, MATCH($A123, 'NZS O&amp;G and CA100'!$B$5:$B$193, 0)) =$B$4, INDEX('NZS O&amp;G and CA100'!$E$5:$N$193, MATCH($A123, 'NZS O&amp;G and CA100'!$B$5:$B$193, 0),MATCH(D$3, 'NZS O&amp;G and CA100'!$E$3:$N$3, 0)),"")</f>
        <v>0</v>
      </c>
      <c r="E123" s="311">
        <f>IF(INDEX('NZS O&amp;G and CA100'!$D$5:$D$193, MATCH($A123, 'NZS O&amp;G and CA100'!$B$5:$B$193, 0)) =$B$4, INDEX('NZS O&amp;G and CA100'!$E$5:$N$193, MATCH($A123, 'NZS O&amp;G and CA100'!$B$5:$B$193, 0),MATCH(E$3, 'NZS O&amp;G and CA100'!$E$3:$N$3, 0)),"")</f>
        <v>0</v>
      </c>
      <c r="F123" s="311">
        <f>IF(INDEX('NZS O&amp;G and CA100'!$D$5:$D$193, MATCH($A123, 'NZS O&amp;G and CA100'!$B$5:$B$193, 0)) =$B$4, INDEX('NZS O&amp;G and CA100'!$E$5:$N$193, MATCH($A123, 'NZS O&amp;G and CA100'!$B$5:$B$193, 0),MATCH(F$3, 'NZS O&amp;G and CA100'!$E$3:$N$3, 0)),"")</f>
        <v>0</v>
      </c>
      <c r="G123" s="311">
        <f>IF(INDEX('NZS O&amp;G and CA100'!$D$5:$D$193, MATCH($A123, 'NZS O&amp;G and CA100'!$B$5:$B$193, 0)) =$B$4, INDEX('NZS O&amp;G and CA100'!$E$5:$N$193, MATCH($A123, 'NZS O&amp;G and CA100'!$B$5:$B$193, 0),MATCH(G$3, 'NZS O&amp;G and CA100'!$E$3:$N$3, 0)),"")</f>
        <v>0</v>
      </c>
      <c r="H123" s="311">
        <f>IF(INDEX('NZS O&amp;G and CA100'!$D$5:$D$193, MATCH($A123, 'NZS O&amp;G and CA100'!$B$5:$B$193, 0)) =$B$4, INDEX('NZS O&amp;G and CA100'!$E$5:$N$193, MATCH($A123, 'NZS O&amp;G and CA100'!$B$5:$B$193, 0),MATCH(H$3, 'NZS O&amp;G and CA100'!$E$3:$N$3, 0)),"")</f>
        <v>0</v>
      </c>
      <c r="I123" s="311">
        <f>IF(INDEX('NZS O&amp;G and CA100'!$D$5:$D$193, MATCH($A123, 'NZS O&amp;G and CA100'!$B$5:$B$193, 0)) =$B$4, INDEX('NZS O&amp;G and CA100'!$E$5:$N$193, MATCH($A123, 'NZS O&amp;G and CA100'!$B$5:$B$193, 0),MATCH(I$3, 'NZS O&amp;G and CA100'!$E$3:$N$3, 0)),"")</f>
        <v>0</v>
      </c>
      <c r="J123" s="311">
        <f>IF(INDEX('NZS O&amp;G and CA100'!$D$5:$D$193, MATCH($A123, 'NZS O&amp;G and CA100'!$B$5:$B$193, 0)) =$B$4, INDEX('NZS O&amp;G and CA100'!$E$5:$N$193, MATCH($A123, 'NZS O&amp;G and CA100'!$B$5:$B$193, 0),MATCH(J$3, 'NZS O&amp;G and CA100'!$E$3:$N$3, 0)),"")</f>
        <v>0</v>
      </c>
      <c r="K123" s="311">
        <f>IF(INDEX('NZS O&amp;G and CA100'!$D$5:$D$193, MATCH($A123, 'NZS O&amp;G and CA100'!$B$5:$B$193, 0)) =$B$4, INDEX('NZS O&amp;G and CA100'!$E$5:$N$193, MATCH($A123, 'NZS O&amp;G and CA100'!$B$5:$B$193, 0),MATCH(K$3, 'NZS O&amp;G and CA100'!$E$3:$N$3, 0)),"")</f>
        <v>0</v>
      </c>
      <c r="L123" s="311">
        <f>IF(INDEX('NZS O&amp;G and CA100'!$D$5:$D$193, MATCH($A123, 'NZS O&amp;G and CA100'!$B$5:$B$193, 0)) =$B$4, INDEX('NZS O&amp;G and CA100'!$E$5:$N$193, MATCH($A123, 'NZS O&amp;G and CA100'!$B$5:$B$193, 0),MATCH(L$3, 'NZS O&amp;G and CA100'!$E$3:$N$3, 0)),"")</f>
        <v>0</v>
      </c>
      <c r="M123" s="312">
        <f>IF(INDEX('NZS O&amp;G and CA100'!$D$5:$D$193, MATCH($A123, 'NZS O&amp;G and CA100'!$B$5:$B$193, 0)) =$B$4, INDEX('NZS O&amp;G and CA100'!$E$5:$N$193, MATCH($A123, 'NZS O&amp;G and CA100'!$B$5:$B$193, 0),MATCH(M$3, 'NZS O&amp;G and CA100'!$E$3:$N$3, 0)),"")</f>
        <v>0</v>
      </c>
      <c r="O123" s="55" t="str">
        <f>IF(INDEX('NZS O&amp;G and CA100'!$D$5:$D$193, MATCH($A123, 'NZS O&amp;G and CA100'!$B$5:$B$193, 0)) = "Alignment", INDEX('NZS O&amp;G and CA100'!$E$5:$N$193, MATCH($A123, 'NZS O&amp;G and CA100'!$B$5:$B$193, 0),MATCH(O$4, 'NZS O&amp;G and CA100'!$E$3:$N$3, 0)),"")</f>
        <v/>
      </c>
      <c r="P123" s="56" t="str">
        <f>IF(INDEX('NZS O&amp;G and CA100'!$D$5:$D$193, MATCH($A123, 'NZS O&amp;G and CA100'!$B$5:$B$193, 0)) = "Alignment", INDEX('NZS O&amp;G and CA100'!$E$5:$N$193, MATCH($A123, 'NZS O&amp;G and CA100'!$B$5:$B$193, 0),MATCH(P$4, 'NZS O&amp;G and CA100'!$E$3:$N$3, 0)),"")</f>
        <v/>
      </c>
      <c r="Q123" s="56" t="str">
        <f>IF(INDEX('NZS O&amp;G and CA100'!$D$5:$D$193, MATCH($A123, 'NZS O&amp;G and CA100'!$B$5:$B$193, 0)) = "Alignment", INDEX('NZS O&amp;G and CA100'!$E$5:$N$193, MATCH($A123, 'NZS O&amp;G and CA100'!$B$5:$B$193, 0),MATCH(Q$4, 'NZS O&amp;G and CA100'!$E$3:$N$3, 0)),"")</f>
        <v/>
      </c>
      <c r="R123" s="56" t="str">
        <f>IF(INDEX('NZS O&amp;G and CA100'!$D$5:$D$193, MATCH($A123, 'NZS O&amp;G and CA100'!$B$5:$B$193, 0)) = "Alignment", INDEX('NZS O&amp;G and CA100'!$E$5:$N$193, MATCH($A123, 'NZS O&amp;G and CA100'!$B$5:$B$193, 0),MATCH(R$4, 'NZS O&amp;G and CA100'!$E$3:$N$3, 0)),"")</f>
        <v/>
      </c>
      <c r="S123" s="56" t="str">
        <f>IF(INDEX('NZS O&amp;G and CA100'!$D$5:$D$193, MATCH($A123, 'NZS O&amp;G and CA100'!$B$5:$B$193, 0)) = "Alignment", INDEX('NZS O&amp;G and CA100'!$E$5:$N$193, MATCH($A123, 'NZS O&amp;G and CA100'!$B$5:$B$193, 0),MATCH(S$4, 'NZS O&amp;G and CA100'!$E$3:$N$3, 0)),"")</f>
        <v/>
      </c>
      <c r="T123" s="56" t="str">
        <f>IF(INDEX('NZS O&amp;G and CA100'!$D$5:$D$193, MATCH($A123, 'NZS O&amp;G and CA100'!$B$5:$B$193, 0)) = "Alignment", INDEX('NZS O&amp;G and CA100'!$E$5:$N$193, MATCH($A123, 'NZS O&amp;G and CA100'!$B$5:$B$193, 0),MATCH(T$4, 'NZS O&amp;G and CA100'!$E$3:$N$3, 0)),"")</f>
        <v/>
      </c>
      <c r="U123" s="56" t="str">
        <f>IF(INDEX('NZS O&amp;G and CA100'!$D$5:$D$193, MATCH($A123, 'NZS O&amp;G and CA100'!$B$5:$B$193, 0)) = "Alignment", INDEX('NZS O&amp;G and CA100'!$E$5:$N$193, MATCH($A123, 'NZS O&amp;G and CA100'!$B$5:$B$193, 0),MATCH(U$4, 'NZS O&amp;G and CA100'!$E$3:$N$3, 0)),"")</f>
        <v/>
      </c>
      <c r="V123" s="56" t="str">
        <f>IF(INDEX('NZS O&amp;G and CA100'!$D$5:$D$193, MATCH($A123, 'NZS O&amp;G and CA100'!$B$5:$B$193, 0)) = "Alignment", INDEX('NZS O&amp;G and CA100'!$E$5:$N$193, MATCH($A123, 'NZS O&amp;G and CA100'!$B$5:$B$193, 0),MATCH(V$4, 'NZS O&amp;G and CA100'!$E$3:$N$3, 0)),"")</f>
        <v/>
      </c>
      <c r="W123" s="56" t="str">
        <f>IF(INDEX('NZS O&amp;G and CA100'!$D$5:$D$193, MATCH($A123, 'NZS O&amp;G and CA100'!$B$5:$B$193, 0)) = "Alignment", INDEX('NZS O&amp;G and CA100'!$E$5:$N$193, MATCH($A123, 'NZS O&amp;G and CA100'!$B$5:$B$193, 0),MATCH(L$3, 'NZS O&amp;G and CA100'!$E$3:$N$3, 0)),"")</f>
        <v/>
      </c>
      <c r="X123" s="57" t="str">
        <f>IF(INDEX('NZS O&amp;G and CA100'!$D$5:$D$193, MATCH($A123, 'NZS O&amp;G and CA100'!$B$5:$B$193, 0)) = "Alignment", INDEX('NZS O&amp;G and CA100'!$E$5:$N$193, MATCH($A123, 'NZS O&amp;G and CA100'!$B$5:$B$193, 0),MATCH(M$3, 'NZS O&amp;G and CA100'!$E$3:$N$3, 0)),"")</f>
        <v/>
      </c>
      <c r="Z123" s="55"/>
      <c r="AA123" s="56"/>
      <c r="AB123" s="56"/>
      <c r="AC123" s="56"/>
      <c r="AD123" s="56"/>
      <c r="AE123" s="56"/>
      <c r="AF123" s="56"/>
      <c r="AG123" s="56"/>
      <c r="AH123" s="56"/>
      <c r="AI123" s="57"/>
      <c r="AK123" s="49"/>
      <c r="AL123" s="49"/>
      <c r="AM123" s="49"/>
      <c r="AN123" s="49"/>
      <c r="AO123" s="49"/>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row>
    <row r="124" spans="1:108" s="1" customFormat="1" ht="20.149999999999999" customHeight="1" outlineLevel="2">
      <c r="A124" s="302" t="s">
        <v>360</v>
      </c>
      <c r="B124" s="235" t="s">
        <v>175</v>
      </c>
      <c r="C124" s="236" t="str">
        <f>VLOOKUP(A124, 'NZS O&amp;G and CA100'!$B$7:$D$194, 3, FALSE)</f>
        <v>Alignment</v>
      </c>
      <c r="D124" s="310" t="str">
        <f>IF(INDEX('NZS O&amp;G and CA100'!$D$5:$D$193, MATCH($A124, 'NZS O&amp;G and CA100'!$B$5:$B$193, 0)) =$B$4, INDEX('NZS O&amp;G and CA100'!$E$5:$N$193, MATCH($A124, 'NZS O&amp;G and CA100'!$B$5:$B$193, 0),MATCH(D$3, 'NZS O&amp;G and CA100'!$E$3:$N$3, 0)),"")</f>
        <v/>
      </c>
      <c r="E124" s="311" t="str">
        <f>IF(INDEX('NZS O&amp;G and CA100'!$D$5:$D$193, MATCH($A124, 'NZS O&amp;G and CA100'!$B$5:$B$193, 0)) =$B$4, INDEX('NZS O&amp;G and CA100'!$E$5:$N$193, MATCH($A124, 'NZS O&amp;G and CA100'!$B$5:$B$193, 0),MATCH(E$3, 'NZS O&amp;G and CA100'!$E$3:$N$3, 0)),"")</f>
        <v/>
      </c>
      <c r="F124" s="311" t="str">
        <f>IF(INDEX('NZS O&amp;G and CA100'!$D$5:$D$193, MATCH($A124, 'NZS O&amp;G and CA100'!$B$5:$B$193, 0)) =$B$4, INDEX('NZS O&amp;G and CA100'!$E$5:$N$193, MATCH($A124, 'NZS O&amp;G and CA100'!$B$5:$B$193, 0),MATCH(F$3, 'NZS O&amp;G and CA100'!$E$3:$N$3, 0)),"")</f>
        <v/>
      </c>
      <c r="G124" s="311" t="str">
        <f>IF(INDEX('NZS O&amp;G and CA100'!$D$5:$D$193, MATCH($A124, 'NZS O&amp;G and CA100'!$B$5:$B$193, 0)) =$B$4, INDEX('NZS O&amp;G and CA100'!$E$5:$N$193, MATCH($A124, 'NZS O&amp;G and CA100'!$B$5:$B$193, 0),MATCH(G$3, 'NZS O&amp;G and CA100'!$E$3:$N$3, 0)),"")</f>
        <v/>
      </c>
      <c r="H124" s="311" t="str">
        <f>IF(INDEX('NZS O&amp;G and CA100'!$D$5:$D$193, MATCH($A124, 'NZS O&amp;G and CA100'!$B$5:$B$193, 0)) =$B$4, INDEX('NZS O&amp;G and CA100'!$E$5:$N$193, MATCH($A124, 'NZS O&amp;G and CA100'!$B$5:$B$193, 0),MATCH(H$3, 'NZS O&amp;G and CA100'!$E$3:$N$3, 0)),"")</f>
        <v/>
      </c>
      <c r="I124" s="311" t="str">
        <f>IF(INDEX('NZS O&amp;G and CA100'!$D$5:$D$193, MATCH($A124, 'NZS O&amp;G and CA100'!$B$5:$B$193, 0)) =$B$4, INDEX('NZS O&amp;G and CA100'!$E$5:$N$193, MATCH($A124, 'NZS O&amp;G and CA100'!$B$5:$B$193, 0),MATCH(I$3, 'NZS O&amp;G and CA100'!$E$3:$N$3, 0)),"")</f>
        <v/>
      </c>
      <c r="J124" s="311" t="str">
        <f>IF(INDEX('NZS O&amp;G and CA100'!$D$5:$D$193, MATCH($A124, 'NZS O&amp;G and CA100'!$B$5:$B$193, 0)) =$B$4, INDEX('NZS O&amp;G and CA100'!$E$5:$N$193, MATCH($A124, 'NZS O&amp;G and CA100'!$B$5:$B$193, 0),MATCH(J$3, 'NZS O&amp;G and CA100'!$E$3:$N$3, 0)),"")</f>
        <v/>
      </c>
      <c r="K124" s="311" t="str">
        <f>IF(INDEX('NZS O&amp;G and CA100'!$D$5:$D$193, MATCH($A124, 'NZS O&amp;G and CA100'!$B$5:$B$193, 0)) =$B$4, INDEX('NZS O&amp;G and CA100'!$E$5:$N$193, MATCH($A124, 'NZS O&amp;G and CA100'!$B$5:$B$193, 0),MATCH(K$3, 'NZS O&amp;G and CA100'!$E$3:$N$3, 0)),"")</f>
        <v/>
      </c>
      <c r="L124" s="311" t="str">
        <f>IF(INDEX('NZS O&amp;G and CA100'!$D$5:$D$193, MATCH($A124, 'NZS O&amp;G and CA100'!$B$5:$B$193, 0)) =$B$4, INDEX('NZS O&amp;G and CA100'!$E$5:$N$193, MATCH($A124, 'NZS O&amp;G and CA100'!$B$5:$B$193, 0),MATCH(L$3, 'NZS O&amp;G and CA100'!$E$3:$N$3, 0)),"")</f>
        <v/>
      </c>
      <c r="M124" s="312" t="str">
        <f>IF(INDEX('NZS O&amp;G and CA100'!$D$5:$D$193, MATCH($A124, 'NZS O&amp;G and CA100'!$B$5:$B$193, 0)) =$B$4, INDEX('NZS O&amp;G and CA100'!$E$5:$N$193, MATCH($A124, 'NZS O&amp;G and CA100'!$B$5:$B$193, 0),MATCH(M$3, 'NZS O&amp;G and CA100'!$E$3:$N$3, 0)),"")</f>
        <v/>
      </c>
      <c r="O124" s="185" t="str">
        <f>IF(INDEX('NZS O&amp;G and CA100'!$D$5:$D$193, MATCH($A124, 'NZS O&amp;G and CA100'!$B$5:$B$193, 0)) = "Alignment", INDEX('NZS O&amp;G and CA100'!$E$5:$N$193, MATCH($A124, 'NZS O&amp;G and CA100'!$B$5:$B$193, 0),MATCH(O$4, 'NZS O&amp;G and CA100'!$E$3:$N$3, 0)),"")</f>
        <v>Under development</v>
      </c>
      <c r="P124" s="186" t="str">
        <f>IF(INDEX('NZS O&amp;G and CA100'!$D$5:$D$193, MATCH($A124, 'NZS O&amp;G and CA100'!$B$5:$B$193, 0)) = "Alignment", INDEX('NZS O&amp;G and CA100'!$E$5:$N$193, MATCH($A124, 'NZS O&amp;G and CA100'!$B$5:$B$193, 0),MATCH(P$4, 'NZS O&amp;G and CA100'!$E$3:$N$3, 0)),"")</f>
        <v>Under development</v>
      </c>
      <c r="Q124" s="186" t="str">
        <f>IF(INDEX('NZS O&amp;G and CA100'!$D$5:$D$193, MATCH($A124, 'NZS O&amp;G and CA100'!$B$5:$B$193, 0)) = "Alignment", INDEX('NZS O&amp;G and CA100'!$E$5:$N$193, MATCH($A124, 'NZS O&amp;G and CA100'!$B$5:$B$193, 0),MATCH(Q$4, 'NZS O&amp;G and CA100'!$E$3:$N$3, 0)),"")</f>
        <v>Under development</v>
      </c>
      <c r="R124" s="186" t="str">
        <f>IF(INDEX('NZS O&amp;G and CA100'!$D$5:$D$193, MATCH($A124, 'NZS O&amp;G and CA100'!$B$5:$B$193, 0)) = "Alignment", INDEX('NZS O&amp;G and CA100'!$E$5:$N$193, MATCH($A124, 'NZS O&amp;G and CA100'!$B$5:$B$193, 0),MATCH(R$4, 'NZS O&amp;G and CA100'!$E$3:$N$3, 0)),"")</f>
        <v>Under development</v>
      </c>
      <c r="S124" s="186" t="str">
        <f>IF(INDEX('NZS O&amp;G and CA100'!$D$5:$D$193, MATCH($A124, 'NZS O&amp;G and CA100'!$B$5:$B$193, 0)) = "Alignment", INDEX('NZS O&amp;G and CA100'!$E$5:$N$193, MATCH($A124, 'NZS O&amp;G and CA100'!$B$5:$B$193, 0),MATCH(S$4, 'NZS O&amp;G and CA100'!$E$3:$N$3, 0)),"")</f>
        <v>Under development</v>
      </c>
      <c r="T124" s="186" t="str">
        <f>IF(INDEX('NZS O&amp;G and CA100'!$D$5:$D$193, MATCH($A124, 'NZS O&amp;G and CA100'!$B$5:$B$193, 0)) = "Alignment", INDEX('NZS O&amp;G and CA100'!$E$5:$N$193, MATCH($A124, 'NZS O&amp;G and CA100'!$B$5:$B$193, 0),MATCH(T$4, 'NZS O&amp;G and CA100'!$E$3:$N$3, 0)),"")</f>
        <v>Under development</v>
      </c>
      <c r="U124" s="186" t="str">
        <f>IF(INDEX('NZS O&amp;G and CA100'!$D$5:$D$193, MATCH($A124, 'NZS O&amp;G and CA100'!$B$5:$B$193, 0)) = "Alignment", INDEX('NZS O&amp;G and CA100'!$E$5:$N$193, MATCH($A124, 'NZS O&amp;G and CA100'!$B$5:$B$193, 0),MATCH(U$4, 'NZS O&amp;G and CA100'!$E$3:$N$3, 0)),"")</f>
        <v>Under development</v>
      </c>
      <c r="V124" s="186" t="str">
        <f>IF(INDEX('NZS O&amp;G and CA100'!$D$5:$D$193, MATCH($A124, 'NZS O&amp;G and CA100'!$B$5:$B$193, 0)) = "Alignment", INDEX('NZS O&amp;G and CA100'!$E$5:$N$193, MATCH($A124, 'NZS O&amp;G and CA100'!$B$5:$B$193, 0),MATCH(V$4, 'NZS O&amp;G and CA100'!$E$3:$N$3, 0)),"")</f>
        <v>Under development</v>
      </c>
      <c r="W124" s="186" t="str">
        <f>IF(INDEX('NZS O&amp;G and CA100'!$D$5:$D$193, MATCH($A124, 'NZS O&amp;G and CA100'!$B$5:$B$193, 0)) = "Alignment", INDEX('NZS O&amp;G and CA100'!$E$5:$N$193, MATCH($A124, 'NZS O&amp;G and CA100'!$B$5:$B$193, 0),MATCH(L$3, 'NZS O&amp;G and CA100'!$E$3:$N$3, 0)),"")</f>
        <v>Under development</v>
      </c>
      <c r="X124" s="187" t="str">
        <f>IF(INDEX('NZS O&amp;G and CA100'!$D$5:$D$193, MATCH($A124, 'NZS O&amp;G and CA100'!$B$5:$B$193, 0)) = "Alignment", INDEX('NZS O&amp;G and CA100'!$E$5:$N$193, MATCH($A124, 'NZS O&amp;G and CA100'!$B$5:$B$193, 0),MATCH(M$3, 'NZS O&amp;G and CA100'!$E$3:$N$3, 0)),"")</f>
        <v>Under development</v>
      </c>
      <c r="Z124" s="55"/>
      <c r="AA124" s="56"/>
      <c r="AB124" s="56"/>
      <c r="AC124" s="56"/>
      <c r="AD124" s="56"/>
      <c r="AE124" s="56"/>
      <c r="AF124" s="56"/>
      <c r="AG124" s="56"/>
      <c r="AH124" s="56"/>
      <c r="AI124" s="57"/>
      <c r="AK124" s="49"/>
      <c r="AL124" s="49"/>
      <c r="AM124" s="49"/>
      <c r="AN124" s="49"/>
      <c r="AO124" s="49"/>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row>
    <row r="125" spans="1:108" s="1" customFormat="1" ht="20.149999999999999" customHeight="1" outlineLevel="1">
      <c r="A125" s="302">
        <v>6.2</v>
      </c>
      <c r="B125" s="231" t="s">
        <v>361</v>
      </c>
      <c r="C125" s="227" t="str">
        <f>VLOOKUP(A125, 'NZS O&amp;G and CA100'!$B$7:$D$194, 3, FALSE)</f>
        <v>Climate Solutions</v>
      </c>
      <c r="D125" s="310" t="str">
        <f>IF($B$4="Climate Solutions",(SUM(D126:D136)/COUNT(D126:D136)),"")</f>
        <v/>
      </c>
      <c r="E125" s="311" t="str">
        <f t="shared" ref="E125:M125" si="33">IF($B$4="Climate Solutions",(SUM(E126:E136)/COUNT(E126:E136)),"")</f>
        <v/>
      </c>
      <c r="F125" s="311" t="str">
        <f t="shared" si="33"/>
        <v/>
      </c>
      <c r="G125" s="311" t="str">
        <f t="shared" si="33"/>
        <v/>
      </c>
      <c r="H125" s="311" t="str">
        <f t="shared" si="33"/>
        <v/>
      </c>
      <c r="I125" s="311" t="str">
        <f t="shared" si="33"/>
        <v/>
      </c>
      <c r="J125" s="311" t="str">
        <f t="shared" si="33"/>
        <v/>
      </c>
      <c r="K125" s="311" t="str">
        <f t="shared" si="33"/>
        <v/>
      </c>
      <c r="L125" s="311" t="str">
        <f t="shared" si="33"/>
        <v/>
      </c>
      <c r="M125" s="312" t="str">
        <f t="shared" si="33"/>
        <v/>
      </c>
      <c r="O125" s="55"/>
      <c r="P125" s="56"/>
      <c r="Q125" s="56"/>
      <c r="R125" s="56"/>
      <c r="S125" s="56"/>
      <c r="T125" s="56"/>
      <c r="U125" s="56"/>
      <c r="V125" s="56"/>
      <c r="W125" s="56"/>
      <c r="X125" s="57"/>
      <c r="Z125" s="55" t="e">
        <f>#REF!</f>
        <v>#REF!</v>
      </c>
      <c r="AA125" s="56" t="e">
        <f>#REF!</f>
        <v>#REF!</v>
      </c>
      <c r="AB125" s="56" t="e">
        <f>#REF!</f>
        <v>#REF!</v>
      </c>
      <c r="AC125" s="56" t="e">
        <f>#REF!</f>
        <v>#REF!</v>
      </c>
      <c r="AD125" s="56" t="e">
        <f>#REF!</f>
        <v>#REF!</v>
      </c>
      <c r="AE125" s="56" t="e">
        <f>#REF!</f>
        <v>#REF!</v>
      </c>
      <c r="AF125" s="56" t="e">
        <f>#REF!</f>
        <v>#REF!</v>
      </c>
      <c r="AG125" s="56" t="e">
        <f>#REF!</f>
        <v>#REF!</v>
      </c>
      <c r="AH125" s="56" t="e">
        <f>#REF!</f>
        <v>#REF!</v>
      </c>
      <c r="AI125" s="57" t="e">
        <f>#REF!</f>
        <v>#REF!</v>
      </c>
      <c r="AK125" s="49"/>
      <c r="AL125" s="49"/>
      <c r="AM125" s="49"/>
      <c r="AN125" s="49"/>
      <c r="AO125" s="49"/>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row>
    <row r="126" spans="1:108" s="1" customFormat="1" ht="20.149999999999999" customHeight="1" outlineLevel="2">
      <c r="A126" s="302" t="s">
        <v>362</v>
      </c>
      <c r="B126" s="228" t="s">
        <v>177</v>
      </c>
      <c r="C126" s="227" t="str">
        <f>VLOOKUP(A126, 'NZS O&amp;G and CA100'!$B$7:$D$194, 3, FALSE)</f>
        <v>Climate Solutions</v>
      </c>
      <c r="D126" s="310" t="str">
        <f>IF(INDEX('NZS O&amp;G and CA100'!$D$5:$D$193, MATCH($A126, 'NZS O&amp;G and CA100'!$B$5:$B$193, 0)) =$B$4, INDEX('NZS O&amp;G and CA100'!$E$5:$N$193, MATCH($A126, 'NZS O&amp;G and CA100'!$B$5:$B$193, 0),MATCH(D$3, 'NZS O&amp;G and CA100'!$E$3:$N$3, 0)),"")</f>
        <v/>
      </c>
      <c r="E126" s="311" t="str">
        <f>IF(INDEX('NZS O&amp;G and CA100'!$D$5:$D$193, MATCH($A126, 'NZS O&amp;G and CA100'!$B$5:$B$193, 0)) =$B$4, INDEX('NZS O&amp;G and CA100'!$E$5:$N$193, MATCH($A126, 'NZS O&amp;G and CA100'!$B$5:$B$193, 0),MATCH(E$3, 'NZS O&amp;G and CA100'!$E$3:$N$3, 0)),"")</f>
        <v/>
      </c>
      <c r="F126" s="311" t="str">
        <f>IF(INDEX('NZS O&amp;G and CA100'!$D$5:$D$193, MATCH($A126, 'NZS O&amp;G and CA100'!$B$5:$B$193, 0)) =$B$4, INDEX('NZS O&amp;G and CA100'!$E$5:$N$193, MATCH($A126, 'NZS O&amp;G and CA100'!$B$5:$B$193, 0),MATCH(F$3, 'NZS O&amp;G and CA100'!$E$3:$N$3, 0)),"")</f>
        <v/>
      </c>
      <c r="G126" s="311" t="str">
        <f>IF(INDEX('NZS O&amp;G and CA100'!$D$5:$D$193, MATCH($A126, 'NZS O&amp;G and CA100'!$B$5:$B$193, 0)) =$B$4, INDEX('NZS O&amp;G and CA100'!$E$5:$N$193, MATCH($A126, 'NZS O&amp;G and CA100'!$B$5:$B$193, 0),MATCH(G$3, 'NZS O&amp;G and CA100'!$E$3:$N$3, 0)),"")</f>
        <v/>
      </c>
      <c r="H126" s="311" t="str">
        <f>IF(INDEX('NZS O&amp;G and CA100'!$D$5:$D$193, MATCH($A126, 'NZS O&amp;G and CA100'!$B$5:$B$193, 0)) =$B$4, INDEX('NZS O&amp;G and CA100'!$E$5:$N$193, MATCH($A126, 'NZS O&amp;G and CA100'!$B$5:$B$193, 0),MATCH(H$3, 'NZS O&amp;G and CA100'!$E$3:$N$3, 0)),"")</f>
        <v/>
      </c>
      <c r="I126" s="311" t="str">
        <f>IF(INDEX('NZS O&amp;G and CA100'!$D$5:$D$193, MATCH($A126, 'NZS O&amp;G and CA100'!$B$5:$B$193, 0)) =$B$4, INDEX('NZS O&amp;G and CA100'!$E$5:$N$193, MATCH($A126, 'NZS O&amp;G and CA100'!$B$5:$B$193, 0),MATCH(I$3, 'NZS O&amp;G and CA100'!$E$3:$N$3, 0)),"")</f>
        <v/>
      </c>
      <c r="J126" s="311" t="str">
        <f>IF(INDEX('NZS O&amp;G and CA100'!$D$5:$D$193, MATCH($A126, 'NZS O&amp;G and CA100'!$B$5:$B$193, 0)) =$B$4, INDEX('NZS O&amp;G and CA100'!$E$5:$N$193, MATCH($A126, 'NZS O&amp;G and CA100'!$B$5:$B$193, 0),MATCH(J$3, 'NZS O&amp;G and CA100'!$E$3:$N$3, 0)),"")</f>
        <v/>
      </c>
      <c r="K126" s="311" t="str">
        <f>IF(INDEX('NZS O&amp;G and CA100'!$D$5:$D$193, MATCH($A126, 'NZS O&amp;G and CA100'!$B$5:$B$193, 0)) =$B$4, INDEX('NZS O&amp;G and CA100'!$E$5:$N$193, MATCH($A126, 'NZS O&amp;G and CA100'!$B$5:$B$193, 0),MATCH(K$3, 'NZS O&amp;G and CA100'!$E$3:$N$3, 0)),"")</f>
        <v/>
      </c>
      <c r="L126" s="311" t="str">
        <f>IF(INDEX('NZS O&amp;G and CA100'!$D$5:$D$193, MATCH($A126, 'NZS O&amp;G and CA100'!$B$5:$B$193, 0)) =$B$4, INDEX('NZS O&amp;G and CA100'!$E$5:$N$193, MATCH($A126, 'NZS O&amp;G and CA100'!$B$5:$B$193, 0),MATCH(L$3, 'NZS O&amp;G and CA100'!$E$3:$N$3, 0)),"")</f>
        <v/>
      </c>
      <c r="M126" s="312" t="str">
        <f>IF(INDEX('NZS O&amp;G and CA100'!$D$5:$D$193, MATCH($A126, 'NZS O&amp;G and CA100'!$B$5:$B$193, 0)) =$B$4, INDEX('NZS O&amp;G and CA100'!$E$5:$N$193, MATCH($A126, 'NZS O&amp;G and CA100'!$B$5:$B$193, 0),MATCH(M$3, 'NZS O&amp;G and CA100'!$E$3:$N$3, 0)),"")</f>
        <v/>
      </c>
      <c r="O126" s="55" t="str">
        <f>IF(INDEX('NZS O&amp;G and CA100'!$D$5:$D$193, MATCH($A126, 'NZS O&amp;G and CA100'!$B$5:$B$193, 0)) = "Alignment", INDEX('NZS O&amp;G and CA100'!$E$5:$N$193, MATCH($A126, 'NZS O&amp;G and CA100'!$B$5:$B$193, 0),MATCH(O$4, 'NZS O&amp;G and CA100'!$E$3:$N$3, 0)),"")</f>
        <v/>
      </c>
      <c r="P126" s="56" t="str">
        <f>IF(INDEX('NZS O&amp;G and CA100'!$D$5:$D$193, MATCH($A126, 'NZS O&amp;G and CA100'!$B$5:$B$193, 0)) = "Alignment", INDEX('NZS O&amp;G and CA100'!$E$5:$N$193, MATCH($A126, 'NZS O&amp;G and CA100'!$B$5:$B$193, 0),MATCH(P$4, 'NZS O&amp;G and CA100'!$E$3:$N$3, 0)),"")</f>
        <v/>
      </c>
      <c r="Q126" s="56" t="str">
        <f>IF(INDEX('NZS O&amp;G and CA100'!$D$5:$D$193, MATCH($A126, 'NZS O&amp;G and CA100'!$B$5:$B$193, 0)) = "Alignment", INDEX('NZS O&amp;G and CA100'!$E$5:$N$193, MATCH($A126, 'NZS O&amp;G and CA100'!$B$5:$B$193, 0),MATCH(Q$4, 'NZS O&amp;G and CA100'!$E$3:$N$3, 0)),"")</f>
        <v/>
      </c>
      <c r="R126" s="56" t="str">
        <f>IF(INDEX('NZS O&amp;G and CA100'!$D$5:$D$193, MATCH($A126, 'NZS O&amp;G and CA100'!$B$5:$B$193, 0)) = "Alignment", INDEX('NZS O&amp;G and CA100'!$E$5:$N$193, MATCH($A126, 'NZS O&amp;G and CA100'!$B$5:$B$193, 0),MATCH(R$4, 'NZS O&amp;G and CA100'!$E$3:$N$3, 0)),"")</f>
        <v/>
      </c>
      <c r="S126" s="56" t="str">
        <f>IF(INDEX('NZS O&amp;G and CA100'!$D$5:$D$193, MATCH($A126, 'NZS O&amp;G and CA100'!$B$5:$B$193, 0)) = "Alignment", INDEX('NZS O&amp;G and CA100'!$E$5:$N$193, MATCH($A126, 'NZS O&amp;G and CA100'!$B$5:$B$193, 0),MATCH(S$4, 'NZS O&amp;G and CA100'!$E$3:$N$3, 0)),"")</f>
        <v/>
      </c>
      <c r="T126" s="56" t="str">
        <f>IF(INDEX('NZS O&amp;G and CA100'!$D$5:$D$193, MATCH($A126, 'NZS O&amp;G and CA100'!$B$5:$B$193, 0)) = "Alignment", INDEX('NZS O&amp;G and CA100'!$E$5:$N$193, MATCH($A126, 'NZS O&amp;G and CA100'!$B$5:$B$193, 0),MATCH(T$4, 'NZS O&amp;G and CA100'!$E$3:$N$3, 0)),"")</f>
        <v/>
      </c>
      <c r="U126" s="56" t="str">
        <f>IF(INDEX('NZS O&amp;G and CA100'!$D$5:$D$193, MATCH($A126, 'NZS O&amp;G and CA100'!$B$5:$B$193, 0)) = "Alignment", INDEX('NZS O&amp;G and CA100'!$E$5:$N$193, MATCH($A126, 'NZS O&amp;G and CA100'!$B$5:$B$193, 0),MATCH(U$4, 'NZS O&amp;G and CA100'!$E$3:$N$3, 0)),"")</f>
        <v/>
      </c>
      <c r="V126" s="56" t="str">
        <f>IF(INDEX('NZS O&amp;G and CA100'!$D$5:$D$193, MATCH($A126, 'NZS O&amp;G and CA100'!$B$5:$B$193, 0)) = "Alignment", INDEX('NZS O&amp;G and CA100'!$E$5:$N$193, MATCH($A126, 'NZS O&amp;G and CA100'!$B$5:$B$193, 0),MATCH(V$4, 'NZS O&amp;G and CA100'!$E$3:$N$3, 0)),"")</f>
        <v/>
      </c>
      <c r="W126" s="56" t="str">
        <f>IF(INDEX('NZS O&amp;G and CA100'!$D$5:$D$193, MATCH($A126, 'NZS O&amp;G and CA100'!$B$5:$B$193, 0)) = "Alignment", INDEX('NZS O&amp;G and CA100'!$E$5:$N$193, MATCH($A126, 'NZS O&amp;G and CA100'!$B$5:$B$193, 0),MATCH(L$3, 'NZS O&amp;G and CA100'!$E$3:$N$3, 0)),"")</f>
        <v/>
      </c>
      <c r="X126" s="57" t="str">
        <f>IF(INDEX('NZS O&amp;G and CA100'!$D$5:$D$193, MATCH($A126, 'NZS O&amp;G and CA100'!$B$5:$B$193, 0)) = "Alignment", INDEX('NZS O&amp;G and CA100'!$E$5:$N$193, MATCH($A126, 'NZS O&amp;G and CA100'!$B$5:$B$193, 0),MATCH(M$3, 'NZS O&amp;G and CA100'!$E$3:$N$3, 0)),"")</f>
        <v/>
      </c>
      <c r="Z126" s="55"/>
      <c r="AA126" s="56"/>
      <c r="AB126" s="56"/>
      <c r="AC126" s="56"/>
      <c r="AD126" s="56"/>
      <c r="AE126" s="56"/>
      <c r="AF126" s="56"/>
      <c r="AG126" s="56"/>
      <c r="AH126" s="56"/>
      <c r="AI126" s="57"/>
      <c r="AK126" s="49"/>
      <c r="AL126" s="49"/>
      <c r="AM126" s="49"/>
      <c r="AN126" s="49"/>
      <c r="AO126" s="49"/>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row>
    <row r="127" spans="1:108" s="1" customFormat="1" ht="20.149999999999999" customHeight="1" outlineLevel="2">
      <c r="A127" s="302" t="s">
        <v>363</v>
      </c>
      <c r="B127" s="228" t="s">
        <v>178</v>
      </c>
      <c r="C127" s="227" t="str">
        <f>VLOOKUP(A127, 'NZS O&amp;G and CA100'!$B$7:$D$194, 3, FALSE)</f>
        <v>Climate Solutions</v>
      </c>
      <c r="D127" s="310" t="str">
        <f>IF(INDEX('NZS O&amp;G and CA100'!$D$5:$D$193, MATCH($A127, 'NZS O&amp;G and CA100'!$B$5:$B$193, 0)) =$B$4, INDEX('NZS O&amp;G and CA100'!$E$5:$N$193, MATCH($A127, 'NZS O&amp;G and CA100'!$B$5:$B$193, 0),MATCH(D$3, 'NZS O&amp;G and CA100'!$E$3:$N$3, 0)),"")</f>
        <v/>
      </c>
      <c r="E127" s="311" t="str">
        <f>IF(INDEX('NZS O&amp;G and CA100'!$D$5:$D$193, MATCH($A127, 'NZS O&amp;G and CA100'!$B$5:$B$193, 0)) =$B$4, INDEX('NZS O&amp;G and CA100'!$E$5:$N$193, MATCH($A127, 'NZS O&amp;G and CA100'!$B$5:$B$193, 0),MATCH(E$3, 'NZS O&amp;G and CA100'!$E$3:$N$3, 0)),"")</f>
        <v/>
      </c>
      <c r="F127" s="311" t="str">
        <f>IF(INDEX('NZS O&amp;G and CA100'!$D$5:$D$193, MATCH($A127, 'NZS O&amp;G and CA100'!$B$5:$B$193, 0)) =$B$4, INDEX('NZS O&amp;G and CA100'!$E$5:$N$193, MATCH($A127, 'NZS O&amp;G and CA100'!$B$5:$B$193, 0),MATCH(F$3, 'NZS O&amp;G and CA100'!$E$3:$N$3, 0)),"")</f>
        <v/>
      </c>
      <c r="G127" s="311" t="str">
        <f>IF(INDEX('NZS O&amp;G and CA100'!$D$5:$D$193, MATCH($A127, 'NZS O&amp;G and CA100'!$B$5:$B$193, 0)) =$B$4, INDEX('NZS O&amp;G and CA100'!$E$5:$N$193, MATCH($A127, 'NZS O&amp;G and CA100'!$B$5:$B$193, 0),MATCH(G$3, 'NZS O&amp;G and CA100'!$E$3:$N$3, 0)),"")</f>
        <v/>
      </c>
      <c r="H127" s="311" t="str">
        <f>IF(INDEX('NZS O&amp;G and CA100'!$D$5:$D$193, MATCH($A127, 'NZS O&amp;G and CA100'!$B$5:$B$193, 0)) =$B$4, INDEX('NZS O&amp;G and CA100'!$E$5:$N$193, MATCH($A127, 'NZS O&amp;G and CA100'!$B$5:$B$193, 0),MATCH(H$3, 'NZS O&amp;G and CA100'!$E$3:$N$3, 0)),"")</f>
        <v/>
      </c>
      <c r="I127" s="311" t="str">
        <f>IF(INDEX('NZS O&amp;G and CA100'!$D$5:$D$193, MATCH($A127, 'NZS O&amp;G and CA100'!$B$5:$B$193, 0)) =$B$4, INDEX('NZS O&amp;G and CA100'!$E$5:$N$193, MATCH($A127, 'NZS O&amp;G and CA100'!$B$5:$B$193, 0),MATCH(I$3, 'NZS O&amp;G and CA100'!$E$3:$N$3, 0)),"")</f>
        <v/>
      </c>
      <c r="J127" s="311" t="str">
        <f>IF(INDEX('NZS O&amp;G and CA100'!$D$5:$D$193, MATCH($A127, 'NZS O&amp;G and CA100'!$B$5:$B$193, 0)) =$B$4, INDEX('NZS O&amp;G and CA100'!$E$5:$N$193, MATCH($A127, 'NZS O&amp;G and CA100'!$B$5:$B$193, 0),MATCH(J$3, 'NZS O&amp;G and CA100'!$E$3:$N$3, 0)),"")</f>
        <v/>
      </c>
      <c r="K127" s="311" t="str">
        <f>IF(INDEX('NZS O&amp;G and CA100'!$D$5:$D$193, MATCH($A127, 'NZS O&amp;G and CA100'!$B$5:$B$193, 0)) =$B$4, INDEX('NZS O&amp;G and CA100'!$E$5:$N$193, MATCH($A127, 'NZS O&amp;G and CA100'!$B$5:$B$193, 0),MATCH(K$3, 'NZS O&amp;G and CA100'!$E$3:$N$3, 0)),"")</f>
        <v/>
      </c>
      <c r="L127" s="311" t="str">
        <f>IF(INDEX('NZS O&amp;G and CA100'!$D$5:$D$193, MATCH($A127, 'NZS O&amp;G and CA100'!$B$5:$B$193, 0)) =$B$4, INDEX('NZS O&amp;G and CA100'!$E$5:$N$193, MATCH($A127, 'NZS O&amp;G and CA100'!$B$5:$B$193, 0),MATCH(L$3, 'NZS O&amp;G and CA100'!$E$3:$N$3, 0)),"")</f>
        <v/>
      </c>
      <c r="M127" s="312" t="str">
        <f>IF(INDEX('NZS O&amp;G and CA100'!$D$5:$D$193, MATCH($A127, 'NZS O&amp;G and CA100'!$B$5:$B$193, 0)) =$B$4, INDEX('NZS O&amp;G and CA100'!$E$5:$N$193, MATCH($A127, 'NZS O&amp;G and CA100'!$B$5:$B$193, 0),MATCH(M$3, 'NZS O&amp;G and CA100'!$E$3:$N$3, 0)),"")</f>
        <v/>
      </c>
      <c r="O127" s="55" t="str">
        <f>IF(INDEX('NZS O&amp;G and CA100'!$D$5:$D$193, MATCH($A127, 'NZS O&amp;G and CA100'!$B$5:$B$193, 0)) = "Alignment", INDEX('NZS O&amp;G and CA100'!$E$5:$N$193, MATCH($A127, 'NZS O&amp;G and CA100'!$B$5:$B$193, 0),MATCH(O$4, 'NZS O&amp;G and CA100'!$E$3:$N$3, 0)),"")</f>
        <v/>
      </c>
      <c r="P127" s="56" t="str">
        <f>IF(INDEX('NZS O&amp;G and CA100'!$D$5:$D$193, MATCH($A127, 'NZS O&amp;G and CA100'!$B$5:$B$193, 0)) = "Alignment", INDEX('NZS O&amp;G and CA100'!$E$5:$N$193, MATCH($A127, 'NZS O&amp;G and CA100'!$B$5:$B$193, 0),MATCH(P$4, 'NZS O&amp;G and CA100'!$E$3:$N$3, 0)),"")</f>
        <v/>
      </c>
      <c r="Q127" s="56" t="str">
        <f>IF(INDEX('NZS O&amp;G and CA100'!$D$5:$D$193, MATCH($A127, 'NZS O&amp;G and CA100'!$B$5:$B$193, 0)) = "Alignment", INDEX('NZS O&amp;G and CA100'!$E$5:$N$193, MATCH($A127, 'NZS O&amp;G and CA100'!$B$5:$B$193, 0),MATCH(Q$4, 'NZS O&amp;G and CA100'!$E$3:$N$3, 0)),"")</f>
        <v/>
      </c>
      <c r="R127" s="56" t="str">
        <f>IF(INDEX('NZS O&amp;G and CA100'!$D$5:$D$193, MATCH($A127, 'NZS O&amp;G and CA100'!$B$5:$B$193, 0)) = "Alignment", INDEX('NZS O&amp;G and CA100'!$E$5:$N$193, MATCH($A127, 'NZS O&amp;G and CA100'!$B$5:$B$193, 0),MATCH(R$4, 'NZS O&amp;G and CA100'!$E$3:$N$3, 0)),"")</f>
        <v/>
      </c>
      <c r="S127" s="56" t="str">
        <f>IF(INDEX('NZS O&amp;G and CA100'!$D$5:$D$193, MATCH($A127, 'NZS O&amp;G and CA100'!$B$5:$B$193, 0)) = "Alignment", INDEX('NZS O&amp;G and CA100'!$E$5:$N$193, MATCH($A127, 'NZS O&amp;G and CA100'!$B$5:$B$193, 0),MATCH(S$4, 'NZS O&amp;G and CA100'!$E$3:$N$3, 0)),"")</f>
        <v/>
      </c>
      <c r="T127" s="56" t="str">
        <f>IF(INDEX('NZS O&amp;G and CA100'!$D$5:$D$193, MATCH($A127, 'NZS O&amp;G and CA100'!$B$5:$B$193, 0)) = "Alignment", INDEX('NZS O&amp;G and CA100'!$E$5:$N$193, MATCH($A127, 'NZS O&amp;G and CA100'!$B$5:$B$193, 0),MATCH(T$4, 'NZS O&amp;G and CA100'!$E$3:$N$3, 0)),"")</f>
        <v/>
      </c>
      <c r="U127" s="56" t="str">
        <f>IF(INDEX('NZS O&amp;G and CA100'!$D$5:$D$193, MATCH($A127, 'NZS O&amp;G and CA100'!$B$5:$B$193, 0)) = "Alignment", INDEX('NZS O&amp;G and CA100'!$E$5:$N$193, MATCH($A127, 'NZS O&amp;G and CA100'!$B$5:$B$193, 0),MATCH(U$4, 'NZS O&amp;G and CA100'!$E$3:$N$3, 0)),"")</f>
        <v/>
      </c>
      <c r="V127" s="56" t="str">
        <f>IF(INDEX('NZS O&amp;G and CA100'!$D$5:$D$193, MATCH($A127, 'NZS O&amp;G and CA100'!$B$5:$B$193, 0)) = "Alignment", INDEX('NZS O&amp;G and CA100'!$E$5:$N$193, MATCH($A127, 'NZS O&amp;G and CA100'!$B$5:$B$193, 0),MATCH(V$4, 'NZS O&amp;G and CA100'!$E$3:$N$3, 0)),"")</f>
        <v/>
      </c>
      <c r="W127" s="56" t="str">
        <f>IF(INDEX('NZS O&amp;G and CA100'!$D$5:$D$193, MATCH($A127, 'NZS O&amp;G and CA100'!$B$5:$B$193, 0)) = "Alignment", INDEX('NZS O&amp;G and CA100'!$E$5:$N$193, MATCH($A127, 'NZS O&amp;G and CA100'!$B$5:$B$193, 0),MATCH(L$3, 'NZS O&amp;G and CA100'!$E$3:$N$3, 0)),"")</f>
        <v/>
      </c>
      <c r="X127" s="57" t="str">
        <f>IF(INDEX('NZS O&amp;G and CA100'!$D$5:$D$193, MATCH($A127, 'NZS O&amp;G and CA100'!$B$5:$B$193, 0)) = "Alignment", INDEX('NZS O&amp;G and CA100'!$E$5:$N$193, MATCH($A127, 'NZS O&amp;G and CA100'!$B$5:$B$193, 0),MATCH(M$3, 'NZS O&amp;G and CA100'!$E$3:$N$3, 0)),"")</f>
        <v/>
      </c>
      <c r="Z127" s="55"/>
      <c r="AA127" s="56"/>
      <c r="AB127" s="56"/>
      <c r="AC127" s="56"/>
      <c r="AD127" s="56"/>
      <c r="AE127" s="56"/>
      <c r="AF127" s="56"/>
      <c r="AG127" s="56"/>
      <c r="AH127" s="56"/>
      <c r="AI127" s="57"/>
      <c r="AK127" s="49"/>
      <c r="AL127" s="49"/>
      <c r="AM127" s="49"/>
      <c r="AN127" s="49"/>
      <c r="AO127" s="49"/>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row>
    <row r="128" spans="1:108" s="1" customFormat="1" ht="20.149999999999999" customHeight="1" outlineLevel="2">
      <c r="A128" s="302" t="s">
        <v>364</v>
      </c>
      <c r="B128" s="235" t="s">
        <v>179</v>
      </c>
      <c r="C128" s="236" t="str">
        <f>VLOOKUP(A128, 'NZS O&amp;G and CA100'!$B$7:$D$194, 3, FALSE)</f>
        <v>Climate Solutions</v>
      </c>
      <c r="D128" s="310" t="str">
        <f>IF(INDEX('NZS O&amp;G and CA100'!$D$5:$D$193, MATCH($A128, 'NZS O&amp;G and CA100'!$B$5:$B$193, 0)) =$B$4, INDEX('NZS O&amp;G and CA100'!$E$5:$N$193, MATCH($A128, 'NZS O&amp;G and CA100'!$B$5:$B$193, 0),MATCH(D$3, 'NZS O&amp;G and CA100'!$E$3:$N$3, 0)),"")</f>
        <v/>
      </c>
      <c r="E128" s="311" t="str">
        <f>IF(INDEX('NZS O&amp;G and CA100'!$D$5:$D$193, MATCH($A128, 'NZS O&amp;G and CA100'!$B$5:$B$193, 0)) =$B$4, INDEX('NZS O&amp;G and CA100'!$E$5:$N$193, MATCH($A128, 'NZS O&amp;G and CA100'!$B$5:$B$193, 0),MATCH(E$3, 'NZS O&amp;G and CA100'!$E$3:$N$3, 0)),"")</f>
        <v/>
      </c>
      <c r="F128" s="311" t="str">
        <f>IF(INDEX('NZS O&amp;G and CA100'!$D$5:$D$193, MATCH($A128, 'NZS O&amp;G and CA100'!$B$5:$B$193, 0)) =$B$4, INDEX('NZS O&amp;G and CA100'!$E$5:$N$193, MATCH($A128, 'NZS O&amp;G and CA100'!$B$5:$B$193, 0),MATCH(F$3, 'NZS O&amp;G and CA100'!$E$3:$N$3, 0)),"")</f>
        <v/>
      </c>
      <c r="G128" s="311" t="str">
        <f>IF(INDEX('NZS O&amp;G and CA100'!$D$5:$D$193, MATCH($A128, 'NZS O&amp;G and CA100'!$B$5:$B$193, 0)) =$B$4, INDEX('NZS O&amp;G and CA100'!$E$5:$N$193, MATCH($A128, 'NZS O&amp;G and CA100'!$B$5:$B$193, 0),MATCH(G$3, 'NZS O&amp;G and CA100'!$E$3:$N$3, 0)),"")</f>
        <v/>
      </c>
      <c r="H128" s="311" t="str">
        <f>IF(INDEX('NZS O&amp;G and CA100'!$D$5:$D$193, MATCH($A128, 'NZS O&amp;G and CA100'!$B$5:$B$193, 0)) =$B$4, INDEX('NZS O&amp;G and CA100'!$E$5:$N$193, MATCH($A128, 'NZS O&amp;G and CA100'!$B$5:$B$193, 0),MATCH(H$3, 'NZS O&amp;G and CA100'!$E$3:$N$3, 0)),"")</f>
        <v/>
      </c>
      <c r="I128" s="311" t="str">
        <f>IF(INDEX('NZS O&amp;G and CA100'!$D$5:$D$193, MATCH($A128, 'NZS O&amp;G and CA100'!$B$5:$B$193, 0)) =$B$4, INDEX('NZS O&amp;G and CA100'!$E$5:$N$193, MATCH($A128, 'NZS O&amp;G and CA100'!$B$5:$B$193, 0),MATCH(I$3, 'NZS O&amp;G and CA100'!$E$3:$N$3, 0)),"")</f>
        <v/>
      </c>
      <c r="J128" s="311" t="str">
        <f>IF(INDEX('NZS O&amp;G and CA100'!$D$5:$D$193, MATCH($A128, 'NZS O&amp;G and CA100'!$B$5:$B$193, 0)) =$B$4, INDEX('NZS O&amp;G and CA100'!$E$5:$N$193, MATCH($A128, 'NZS O&amp;G and CA100'!$B$5:$B$193, 0),MATCH(J$3, 'NZS O&amp;G and CA100'!$E$3:$N$3, 0)),"")</f>
        <v/>
      </c>
      <c r="K128" s="311" t="str">
        <f>IF(INDEX('NZS O&amp;G and CA100'!$D$5:$D$193, MATCH($A128, 'NZS O&amp;G and CA100'!$B$5:$B$193, 0)) =$B$4, INDEX('NZS O&amp;G and CA100'!$E$5:$N$193, MATCH($A128, 'NZS O&amp;G and CA100'!$B$5:$B$193, 0),MATCH(K$3, 'NZS O&amp;G and CA100'!$E$3:$N$3, 0)),"")</f>
        <v/>
      </c>
      <c r="L128" s="311" t="str">
        <f>IF(INDEX('NZS O&amp;G and CA100'!$D$5:$D$193, MATCH($A128, 'NZS O&amp;G and CA100'!$B$5:$B$193, 0)) =$B$4, INDEX('NZS O&amp;G and CA100'!$E$5:$N$193, MATCH($A128, 'NZS O&amp;G and CA100'!$B$5:$B$193, 0),MATCH(L$3, 'NZS O&amp;G and CA100'!$E$3:$N$3, 0)),"")</f>
        <v/>
      </c>
      <c r="M128" s="312" t="str">
        <f>IF(INDEX('NZS O&amp;G and CA100'!$D$5:$D$193, MATCH($A128, 'NZS O&amp;G and CA100'!$B$5:$B$193, 0)) =$B$4, INDEX('NZS O&amp;G and CA100'!$E$5:$N$193, MATCH($A128, 'NZS O&amp;G and CA100'!$B$5:$B$193, 0),MATCH(M$3, 'NZS O&amp;G and CA100'!$E$3:$N$3, 0)),"")</f>
        <v/>
      </c>
      <c r="O128" s="55" t="str">
        <f>IF(INDEX('NZS O&amp;G and CA100'!$D$5:$D$193, MATCH($A128, 'NZS O&amp;G and CA100'!$B$5:$B$193, 0)) = "Alignment", INDEX('NZS O&amp;G and CA100'!$E$5:$N$193, MATCH($A128, 'NZS O&amp;G and CA100'!$B$5:$B$193, 0),MATCH(O$4, 'NZS O&amp;G and CA100'!$E$3:$N$3, 0)),"")</f>
        <v/>
      </c>
      <c r="P128" s="56" t="str">
        <f>IF(INDEX('NZS O&amp;G and CA100'!$D$5:$D$193, MATCH($A128, 'NZS O&amp;G and CA100'!$B$5:$B$193, 0)) = "Alignment", INDEX('NZS O&amp;G and CA100'!$E$5:$N$193, MATCH($A128, 'NZS O&amp;G and CA100'!$B$5:$B$193, 0),MATCH(P$4, 'NZS O&amp;G and CA100'!$E$3:$N$3, 0)),"")</f>
        <v/>
      </c>
      <c r="Q128" s="56" t="str">
        <f>IF(INDEX('NZS O&amp;G and CA100'!$D$5:$D$193, MATCH($A128, 'NZS O&amp;G and CA100'!$B$5:$B$193, 0)) = "Alignment", INDEX('NZS O&amp;G and CA100'!$E$5:$N$193, MATCH($A128, 'NZS O&amp;G and CA100'!$B$5:$B$193, 0),MATCH(Q$4, 'NZS O&amp;G and CA100'!$E$3:$N$3, 0)),"")</f>
        <v/>
      </c>
      <c r="R128" s="56" t="str">
        <f>IF(INDEX('NZS O&amp;G and CA100'!$D$5:$D$193, MATCH($A128, 'NZS O&amp;G and CA100'!$B$5:$B$193, 0)) = "Alignment", INDEX('NZS O&amp;G and CA100'!$E$5:$N$193, MATCH($A128, 'NZS O&amp;G and CA100'!$B$5:$B$193, 0),MATCH(R$4, 'NZS O&amp;G and CA100'!$E$3:$N$3, 0)),"")</f>
        <v/>
      </c>
      <c r="S128" s="56" t="str">
        <f>IF(INDEX('NZS O&amp;G and CA100'!$D$5:$D$193, MATCH($A128, 'NZS O&amp;G and CA100'!$B$5:$B$193, 0)) = "Alignment", INDEX('NZS O&amp;G and CA100'!$E$5:$N$193, MATCH($A128, 'NZS O&amp;G and CA100'!$B$5:$B$193, 0),MATCH(S$4, 'NZS O&amp;G and CA100'!$E$3:$N$3, 0)),"")</f>
        <v/>
      </c>
      <c r="T128" s="56" t="str">
        <f>IF(INDEX('NZS O&amp;G and CA100'!$D$5:$D$193, MATCH($A128, 'NZS O&amp;G and CA100'!$B$5:$B$193, 0)) = "Alignment", INDEX('NZS O&amp;G and CA100'!$E$5:$N$193, MATCH($A128, 'NZS O&amp;G and CA100'!$B$5:$B$193, 0),MATCH(T$4, 'NZS O&amp;G and CA100'!$E$3:$N$3, 0)),"")</f>
        <v/>
      </c>
      <c r="U128" s="56" t="str">
        <f>IF(INDEX('NZS O&amp;G and CA100'!$D$5:$D$193, MATCH($A128, 'NZS O&amp;G and CA100'!$B$5:$B$193, 0)) = "Alignment", INDEX('NZS O&amp;G and CA100'!$E$5:$N$193, MATCH($A128, 'NZS O&amp;G and CA100'!$B$5:$B$193, 0),MATCH(U$4, 'NZS O&amp;G and CA100'!$E$3:$N$3, 0)),"")</f>
        <v/>
      </c>
      <c r="V128" s="56" t="str">
        <f>IF(INDEX('NZS O&amp;G and CA100'!$D$5:$D$193, MATCH($A128, 'NZS O&amp;G and CA100'!$B$5:$B$193, 0)) = "Alignment", INDEX('NZS O&amp;G and CA100'!$E$5:$N$193, MATCH($A128, 'NZS O&amp;G and CA100'!$B$5:$B$193, 0),MATCH(V$4, 'NZS O&amp;G and CA100'!$E$3:$N$3, 0)),"")</f>
        <v/>
      </c>
      <c r="W128" s="56" t="str">
        <f>IF(INDEX('NZS O&amp;G and CA100'!$D$5:$D$193, MATCH($A128, 'NZS O&amp;G and CA100'!$B$5:$B$193, 0)) = "Alignment", INDEX('NZS O&amp;G and CA100'!$E$5:$N$193, MATCH($A128, 'NZS O&amp;G and CA100'!$B$5:$B$193, 0),MATCH(L$3, 'NZS O&amp;G and CA100'!$E$3:$N$3, 0)),"")</f>
        <v/>
      </c>
      <c r="X128" s="57" t="str">
        <f>IF(INDEX('NZS O&amp;G and CA100'!$D$5:$D$193, MATCH($A128, 'NZS O&amp;G and CA100'!$B$5:$B$193, 0)) = "Alignment", INDEX('NZS O&amp;G and CA100'!$E$5:$N$193, MATCH($A128, 'NZS O&amp;G and CA100'!$B$5:$B$193, 0),MATCH(M$3, 'NZS O&amp;G and CA100'!$E$3:$N$3, 0)),"")</f>
        <v/>
      </c>
      <c r="Z128" s="55" t="str">
        <f>IF(INDEX('NZS O&amp;G and CA100'!$D$5:$D$193, MATCH($A128, 'NZS O&amp;G and CA100'!$B$5:$B$193, 0)) = "Solutions", INDEX('NZS O&amp;G and CA100'!$E$5:$N$193, MATCH($A128, 'NZS O&amp;G and CA100'!$B$5:$B$193, 0),MATCH(Z$4, 'NZS O&amp;G and CA100'!$E$3:$N$3, 0)),"")</f>
        <v/>
      </c>
      <c r="AA128" s="56" t="str">
        <f>IF(INDEX('NZS O&amp;G and CA100'!$D$5:$D$193, MATCH($A128, 'NZS O&amp;G and CA100'!$B$5:$B$193, 0)) = "Solutions", INDEX('NZS O&amp;G and CA100'!$E$5:$N$193, MATCH($A128, 'NZS O&amp;G and CA100'!$B$5:$B$193, 0),MATCH(AA$4, 'NZS O&amp;G and CA100'!$E$3:$N$3, 0)),"")</f>
        <v/>
      </c>
      <c r="AB128" s="56" t="str">
        <f>IF(INDEX('NZS O&amp;G and CA100'!$D$5:$D$193, MATCH($A128, 'NZS O&amp;G and CA100'!$B$5:$B$193, 0)) = "Solutions", INDEX('NZS O&amp;G and CA100'!$E$5:$N$193, MATCH($A128, 'NZS O&amp;G and CA100'!$B$5:$B$193, 0),MATCH(AB$4, 'NZS O&amp;G and CA100'!$E$3:$N$3, 0)),"")</f>
        <v/>
      </c>
      <c r="AC128" s="56" t="str">
        <f>IF(INDEX('NZS O&amp;G and CA100'!$D$5:$D$193, MATCH($A128, 'NZS O&amp;G and CA100'!$B$5:$B$193, 0)) = "Solutions", INDEX('NZS O&amp;G and CA100'!$E$5:$N$193, MATCH($A128, 'NZS O&amp;G and CA100'!$B$5:$B$193, 0),MATCH(AC$4, 'NZS O&amp;G and CA100'!$E$3:$N$3, 0)),"")</f>
        <v/>
      </c>
      <c r="AD128" s="56" t="str">
        <f>IF(INDEX('NZS O&amp;G and CA100'!$D$5:$D$193, MATCH($A128, 'NZS O&amp;G and CA100'!$B$5:$B$193, 0)) = "Solutions", INDEX('NZS O&amp;G and CA100'!$E$5:$N$193, MATCH($A128, 'NZS O&amp;G and CA100'!$B$5:$B$193, 0),MATCH(AD$4, 'NZS O&amp;G and CA100'!$E$3:$N$3, 0)),"")</f>
        <v/>
      </c>
      <c r="AE128" s="56" t="str">
        <f>IF(INDEX('NZS O&amp;G and CA100'!$D$5:$D$193, MATCH($A128, 'NZS O&amp;G and CA100'!$B$5:$B$193, 0)) = "Solutions", INDEX('NZS O&amp;G and CA100'!$E$5:$N$193, MATCH($A128, 'NZS O&amp;G and CA100'!$B$5:$B$193, 0),MATCH(AE$4, 'NZS O&amp;G and CA100'!$E$3:$N$3, 0)),"")</f>
        <v/>
      </c>
      <c r="AF128" s="56" t="str">
        <f>IF(INDEX('NZS O&amp;G and CA100'!$D$5:$D$193, MATCH($A128, 'NZS O&amp;G and CA100'!$B$5:$B$193, 0)) = "Solutions", INDEX('NZS O&amp;G and CA100'!$E$5:$N$193, MATCH($A128, 'NZS O&amp;G and CA100'!$B$5:$B$193, 0),MATCH(AF$4, 'NZS O&amp;G and CA100'!$E$3:$N$3, 0)),"")</f>
        <v/>
      </c>
      <c r="AG128" s="56" t="str">
        <f>IF(INDEX('NZS O&amp;G and CA100'!$D$5:$D$193, MATCH($A128, 'NZS O&amp;G and CA100'!$B$5:$B$193, 0)) = "Solutions", INDEX('NZS O&amp;G and CA100'!$E$5:$N$193, MATCH($A128, 'NZS O&amp;G and CA100'!$B$5:$B$193, 0),MATCH(AG$4, 'NZS O&amp;G and CA100'!$E$3:$N$3, 0)),"")</f>
        <v/>
      </c>
      <c r="AH128" s="56" t="str">
        <f>IF(INDEX('NZS O&amp;G and CA100'!$D$5:$D$193, MATCH($A128, 'NZS O&amp;G and CA100'!$B$5:$B$193, 0)) = "Solutions", INDEX('NZS O&amp;G and CA100'!$E$5:$N$193, MATCH($A128, 'NZS O&amp;G and CA100'!$B$5:$B$193, 0),MATCH(AH$4, 'NZS O&amp;G and CA100'!$E$3:$N$3, 0)),"")</f>
        <v/>
      </c>
      <c r="AI128" s="57" t="str">
        <f>IF(INDEX('NZS O&amp;G and CA100'!$D$5:$D$193, MATCH($A128, 'NZS O&amp;G and CA100'!$B$5:$B$193, 0)) = "Solutions", INDEX('NZS O&amp;G and CA100'!$E$5:$N$193, MATCH($A128, 'NZS O&amp;G and CA100'!$B$5:$B$193, 0),MATCH(AI$4, 'NZS O&amp;G and CA100'!$E$3:$N$3, 0)),"")</f>
        <v/>
      </c>
      <c r="AK128" s="49"/>
      <c r="AL128" s="49"/>
      <c r="AM128" s="49"/>
      <c r="AN128" s="49"/>
      <c r="AO128" s="49"/>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0"/>
      <c r="CV128" s="50"/>
      <c r="CW128" s="50"/>
      <c r="CX128" s="50"/>
      <c r="CY128" s="50"/>
      <c r="CZ128" s="50"/>
      <c r="DA128" s="50"/>
      <c r="DB128" s="50"/>
      <c r="DC128" s="50"/>
      <c r="DD128" s="50"/>
    </row>
    <row r="129" spans="1:108" s="1" customFormat="1" ht="20.149999999999999" customHeight="1" outlineLevel="2">
      <c r="A129" s="302" t="s">
        <v>365</v>
      </c>
      <c r="B129" s="235" t="s">
        <v>180</v>
      </c>
      <c r="C129" s="236" t="str">
        <f>VLOOKUP(A129, 'NZS O&amp;G and CA100'!$B$7:$D$194, 3, FALSE)</f>
        <v>Climate Solutions</v>
      </c>
      <c r="D129" s="310" t="str">
        <f>IF(INDEX('NZS O&amp;G and CA100'!$D$5:$D$193, MATCH($A129, 'NZS O&amp;G and CA100'!$B$5:$B$193, 0)) =$B$4, INDEX('NZS O&amp;G and CA100'!$E$5:$N$193, MATCH($A129, 'NZS O&amp;G and CA100'!$B$5:$B$193, 0),MATCH(D$3, 'NZS O&amp;G and CA100'!$E$3:$N$3, 0)),"")</f>
        <v/>
      </c>
      <c r="E129" s="311" t="str">
        <f>IF(INDEX('NZS O&amp;G and CA100'!$D$5:$D$193, MATCH($A129, 'NZS O&amp;G and CA100'!$B$5:$B$193, 0)) =$B$4, INDEX('NZS O&amp;G and CA100'!$E$5:$N$193, MATCH($A129, 'NZS O&amp;G and CA100'!$B$5:$B$193, 0),MATCH(E$3, 'NZS O&amp;G and CA100'!$E$3:$N$3, 0)),"")</f>
        <v/>
      </c>
      <c r="F129" s="311" t="str">
        <f>IF(INDEX('NZS O&amp;G and CA100'!$D$5:$D$193, MATCH($A129, 'NZS O&amp;G and CA100'!$B$5:$B$193, 0)) =$B$4, INDEX('NZS O&amp;G and CA100'!$E$5:$N$193, MATCH($A129, 'NZS O&amp;G and CA100'!$B$5:$B$193, 0),MATCH(F$3, 'NZS O&amp;G and CA100'!$E$3:$N$3, 0)),"")</f>
        <v/>
      </c>
      <c r="G129" s="311" t="str">
        <f>IF(INDEX('NZS O&amp;G and CA100'!$D$5:$D$193, MATCH($A129, 'NZS O&amp;G and CA100'!$B$5:$B$193, 0)) =$B$4, INDEX('NZS O&amp;G and CA100'!$E$5:$N$193, MATCH($A129, 'NZS O&amp;G and CA100'!$B$5:$B$193, 0),MATCH(G$3, 'NZS O&amp;G and CA100'!$E$3:$N$3, 0)),"")</f>
        <v/>
      </c>
      <c r="H129" s="311" t="str">
        <f>IF(INDEX('NZS O&amp;G and CA100'!$D$5:$D$193, MATCH($A129, 'NZS O&amp;G and CA100'!$B$5:$B$193, 0)) =$B$4, INDEX('NZS O&amp;G and CA100'!$E$5:$N$193, MATCH($A129, 'NZS O&amp;G and CA100'!$B$5:$B$193, 0),MATCH(H$3, 'NZS O&amp;G and CA100'!$E$3:$N$3, 0)),"")</f>
        <v/>
      </c>
      <c r="I129" s="311" t="str">
        <f>IF(INDEX('NZS O&amp;G and CA100'!$D$5:$D$193, MATCH($A129, 'NZS O&amp;G and CA100'!$B$5:$B$193, 0)) =$B$4, INDEX('NZS O&amp;G and CA100'!$E$5:$N$193, MATCH($A129, 'NZS O&amp;G and CA100'!$B$5:$B$193, 0),MATCH(I$3, 'NZS O&amp;G and CA100'!$E$3:$N$3, 0)),"")</f>
        <v/>
      </c>
      <c r="J129" s="311" t="str">
        <f>IF(INDEX('NZS O&amp;G and CA100'!$D$5:$D$193, MATCH($A129, 'NZS O&amp;G and CA100'!$B$5:$B$193, 0)) =$B$4, INDEX('NZS O&amp;G and CA100'!$E$5:$N$193, MATCH($A129, 'NZS O&amp;G and CA100'!$B$5:$B$193, 0),MATCH(J$3, 'NZS O&amp;G and CA100'!$E$3:$N$3, 0)),"")</f>
        <v/>
      </c>
      <c r="K129" s="311" t="str">
        <f>IF(INDEX('NZS O&amp;G and CA100'!$D$5:$D$193, MATCH($A129, 'NZS O&amp;G and CA100'!$B$5:$B$193, 0)) =$B$4, INDEX('NZS O&amp;G and CA100'!$E$5:$N$193, MATCH($A129, 'NZS O&amp;G and CA100'!$B$5:$B$193, 0),MATCH(K$3, 'NZS O&amp;G and CA100'!$E$3:$N$3, 0)),"")</f>
        <v/>
      </c>
      <c r="L129" s="311" t="str">
        <f>IF(INDEX('NZS O&amp;G and CA100'!$D$5:$D$193, MATCH($A129, 'NZS O&amp;G and CA100'!$B$5:$B$193, 0)) =$B$4, INDEX('NZS O&amp;G and CA100'!$E$5:$N$193, MATCH($A129, 'NZS O&amp;G and CA100'!$B$5:$B$193, 0),MATCH(L$3, 'NZS O&amp;G and CA100'!$E$3:$N$3, 0)),"")</f>
        <v/>
      </c>
      <c r="M129" s="312" t="str">
        <f>IF(INDEX('NZS O&amp;G and CA100'!$D$5:$D$193, MATCH($A129, 'NZS O&amp;G and CA100'!$B$5:$B$193, 0)) =$B$4, INDEX('NZS O&amp;G and CA100'!$E$5:$N$193, MATCH($A129, 'NZS O&amp;G and CA100'!$B$5:$B$193, 0),MATCH(M$3, 'NZS O&amp;G and CA100'!$E$3:$N$3, 0)),"")</f>
        <v/>
      </c>
      <c r="O129" s="55" t="str">
        <f>IF(INDEX('NZS O&amp;G and CA100'!$D$5:$D$193, MATCH($A129, 'NZS O&amp;G and CA100'!$B$5:$B$193, 0)) = "Alignment", INDEX('NZS O&amp;G and CA100'!$E$5:$N$193, MATCH($A129, 'NZS O&amp;G and CA100'!$B$5:$B$193, 0),MATCH(O$4, 'NZS O&amp;G and CA100'!$E$3:$N$3, 0)),"")</f>
        <v/>
      </c>
      <c r="P129" s="56" t="str">
        <f>IF(INDEX('NZS O&amp;G and CA100'!$D$5:$D$193, MATCH($A129, 'NZS O&amp;G and CA100'!$B$5:$B$193, 0)) = "Alignment", INDEX('NZS O&amp;G and CA100'!$E$5:$N$193, MATCH($A129, 'NZS O&amp;G and CA100'!$B$5:$B$193, 0),MATCH(P$4, 'NZS O&amp;G and CA100'!$E$3:$N$3, 0)),"")</f>
        <v/>
      </c>
      <c r="Q129" s="56" t="str">
        <f>IF(INDEX('NZS O&amp;G and CA100'!$D$5:$D$193, MATCH($A129, 'NZS O&amp;G and CA100'!$B$5:$B$193, 0)) = "Alignment", INDEX('NZS O&amp;G and CA100'!$E$5:$N$193, MATCH($A129, 'NZS O&amp;G and CA100'!$B$5:$B$193, 0),MATCH(Q$4, 'NZS O&amp;G and CA100'!$E$3:$N$3, 0)),"")</f>
        <v/>
      </c>
      <c r="R129" s="56" t="str">
        <f>IF(INDEX('NZS O&amp;G and CA100'!$D$5:$D$193, MATCH($A129, 'NZS O&amp;G and CA100'!$B$5:$B$193, 0)) = "Alignment", INDEX('NZS O&amp;G and CA100'!$E$5:$N$193, MATCH($A129, 'NZS O&amp;G and CA100'!$B$5:$B$193, 0),MATCH(R$4, 'NZS O&amp;G and CA100'!$E$3:$N$3, 0)),"")</f>
        <v/>
      </c>
      <c r="S129" s="56" t="str">
        <f>IF(INDEX('NZS O&amp;G and CA100'!$D$5:$D$193, MATCH($A129, 'NZS O&amp;G and CA100'!$B$5:$B$193, 0)) = "Alignment", INDEX('NZS O&amp;G and CA100'!$E$5:$N$193, MATCH($A129, 'NZS O&amp;G and CA100'!$B$5:$B$193, 0),MATCH(S$4, 'NZS O&amp;G and CA100'!$E$3:$N$3, 0)),"")</f>
        <v/>
      </c>
      <c r="T129" s="56" t="str">
        <f>IF(INDEX('NZS O&amp;G and CA100'!$D$5:$D$193, MATCH($A129, 'NZS O&amp;G and CA100'!$B$5:$B$193, 0)) = "Alignment", INDEX('NZS O&amp;G and CA100'!$E$5:$N$193, MATCH($A129, 'NZS O&amp;G and CA100'!$B$5:$B$193, 0),MATCH(T$4, 'NZS O&amp;G and CA100'!$E$3:$N$3, 0)),"")</f>
        <v/>
      </c>
      <c r="U129" s="56" t="str">
        <f>IF(INDEX('NZS O&amp;G and CA100'!$D$5:$D$193, MATCH($A129, 'NZS O&amp;G and CA100'!$B$5:$B$193, 0)) = "Alignment", INDEX('NZS O&amp;G and CA100'!$E$5:$N$193, MATCH($A129, 'NZS O&amp;G and CA100'!$B$5:$B$193, 0),MATCH(U$4, 'NZS O&amp;G and CA100'!$E$3:$N$3, 0)),"")</f>
        <v/>
      </c>
      <c r="V129" s="56" t="str">
        <f>IF(INDEX('NZS O&amp;G and CA100'!$D$5:$D$193, MATCH($A129, 'NZS O&amp;G and CA100'!$B$5:$B$193, 0)) = "Alignment", INDEX('NZS O&amp;G and CA100'!$E$5:$N$193, MATCH($A129, 'NZS O&amp;G and CA100'!$B$5:$B$193, 0),MATCH(V$4, 'NZS O&amp;G and CA100'!$E$3:$N$3, 0)),"")</f>
        <v/>
      </c>
      <c r="W129" s="56" t="str">
        <f>IF(INDEX('NZS O&amp;G and CA100'!$D$5:$D$193, MATCH($A129, 'NZS O&amp;G and CA100'!$B$5:$B$193, 0)) = "Alignment", INDEX('NZS O&amp;G and CA100'!$E$5:$N$193, MATCH($A129, 'NZS O&amp;G and CA100'!$B$5:$B$193, 0),MATCH(L$3, 'NZS O&amp;G and CA100'!$E$3:$N$3, 0)),"")</f>
        <v/>
      </c>
      <c r="X129" s="57" t="str">
        <f>IF(INDEX('NZS O&amp;G and CA100'!$D$5:$D$193, MATCH($A129, 'NZS O&amp;G and CA100'!$B$5:$B$193, 0)) = "Alignment", INDEX('NZS O&amp;G and CA100'!$E$5:$N$193, MATCH($A129, 'NZS O&amp;G and CA100'!$B$5:$B$193, 0),MATCH(M$3, 'NZS O&amp;G and CA100'!$E$3:$N$3, 0)),"")</f>
        <v/>
      </c>
      <c r="Z129" s="55" t="str">
        <f>IF(INDEX('NZS O&amp;G and CA100'!$D$5:$D$193, MATCH($A129, 'NZS O&amp;G and CA100'!$B$5:$B$193, 0)) = "Solutions", INDEX('NZS O&amp;G and CA100'!$E$5:$N$193, MATCH($A129, 'NZS O&amp;G and CA100'!$B$5:$B$193, 0),MATCH(Z$4, 'NZS O&amp;G and CA100'!$E$3:$N$3, 0)),"")</f>
        <v/>
      </c>
      <c r="AA129" s="56" t="str">
        <f>IF(INDEX('NZS O&amp;G and CA100'!$D$5:$D$193, MATCH($A129, 'NZS O&amp;G and CA100'!$B$5:$B$193, 0)) = "Solutions", INDEX('NZS O&amp;G and CA100'!$E$5:$N$193, MATCH($A129, 'NZS O&amp;G and CA100'!$B$5:$B$193, 0),MATCH(AA$4, 'NZS O&amp;G and CA100'!$E$3:$N$3, 0)),"")</f>
        <v/>
      </c>
      <c r="AB129" s="56" t="str">
        <f>IF(INDEX('NZS O&amp;G and CA100'!$D$5:$D$193, MATCH($A129, 'NZS O&amp;G and CA100'!$B$5:$B$193, 0)) = "Solutions", INDEX('NZS O&amp;G and CA100'!$E$5:$N$193, MATCH($A129, 'NZS O&amp;G and CA100'!$B$5:$B$193, 0),MATCH(AB$4, 'NZS O&amp;G and CA100'!$E$3:$N$3, 0)),"")</f>
        <v/>
      </c>
      <c r="AC129" s="56" t="str">
        <f>IF(INDEX('NZS O&amp;G and CA100'!$D$5:$D$193, MATCH($A129, 'NZS O&amp;G and CA100'!$B$5:$B$193, 0)) = "Solutions", INDEX('NZS O&amp;G and CA100'!$E$5:$N$193, MATCH($A129, 'NZS O&amp;G and CA100'!$B$5:$B$193, 0),MATCH(AC$4, 'NZS O&amp;G and CA100'!$E$3:$N$3, 0)),"")</f>
        <v/>
      </c>
      <c r="AD129" s="56" t="str">
        <f>IF(INDEX('NZS O&amp;G and CA100'!$D$5:$D$193, MATCH($A129, 'NZS O&amp;G and CA100'!$B$5:$B$193, 0)) = "Solutions", INDEX('NZS O&amp;G and CA100'!$E$5:$N$193, MATCH($A129, 'NZS O&amp;G and CA100'!$B$5:$B$193, 0),MATCH(AD$4, 'NZS O&amp;G and CA100'!$E$3:$N$3, 0)),"")</f>
        <v/>
      </c>
      <c r="AE129" s="56" t="str">
        <f>IF(INDEX('NZS O&amp;G and CA100'!$D$5:$D$193, MATCH($A129, 'NZS O&amp;G and CA100'!$B$5:$B$193, 0)) = "Solutions", INDEX('NZS O&amp;G and CA100'!$E$5:$N$193, MATCH($A129, 'NZS O&amp;G and CA100'!$B$5:$B$193, 0),MATCH(AE$4, 'NZS O&amp;G and CA100'!$E$3:$N$3, 0)),"")</f>
        <v/>
      </c>
      <c r="AF129" s="56" t="str">
        <f>IF(INDEX('NZS O&amp;G and CA100'!$D$5:$D$193, MATCH($A129, 'NZS O&amp;G and CA100'!$B$5:$B$193, 0)) = "Solutions", INDEX('NZS O&amp;G and CA100'!$E$5:$N$193, MATCH($A129, 'NZS O&amp;G and CA100'!$B$5:$B$193, 0),MATCH(AF$4, 'NZS O&amp;G and CA100'!$E$3:$N$3, 0)),"")</f>
        <v/>
      </c>
      <c r="AG129" s="56" t="str">
        <f>IF(INDEX('NZS O&amp;G and CA100'!$D$5:$D$193, MATCH($A129, 'NZS O&amp;G and CA100'!$B$5:$B$193, 0)) = "Solutions", INDEX('NZS O&amp;G and CA100'!$E$5:$N$193, MATCH($A129, 'NZS O&amp;G and CA100'!$B$5:$B$193, 0),MATCH(AG$4, 'NZS O&amp;G and CA100'!$E$3:$N$3, 0)),"")</f>
        <v/>
      </c>
      <c r="AH129" s="56" t="str">
        <f>IF(INDEX('NZS O&amp;G and CA100'!$D$5:$D$193, MATCH($A129, 'NZS O&amp;G and CA100'!$B$5:$B$193, 0)) = "Solutions", INDEX('NZS O&amp;G and CA100'!$E$5:$N$193, MATCH($A129, 'NZS O&amp;G and CA100'!$B$5:$B$193, 0),MATCH(AH$4, 'NZS O&amp;G and CA100'!$E$3:$N$3, 0)),"")</f>
        <v/>
      </c>
      <c r="AI129" s="57" t="str">
        <f>IF(INDEX('NZS O&amp;G and CA100'!$D$5:$D$193, MATCH($A129, 'NZS O&amp;G and CA100'!$B$5:$B$193, 0)) = "Solutions", INDEX('NZS O&amp;G and CA100'!$E$5:$N$193, MATCH($A129, 'NZS O&amp;G and CA100'!$B$5:$B$193, 0),MATCH(AI$4, 'NZS O&amp;G and CA100'!$E$3:$N$3, 0)),"")</f>
        <v/>
      </c>
      <c r="AK129" s="49"/>
      <c r="AL129" s="49"/>
      <c r="AM129" s="49"/>
      <c r="AN129" s="49"/>
      <c r="AO129" s="49"/>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row>
    <row r="130" spans="1:108" s="1" customFormat="1" ht="20.149999999999999" customHeight="1" outlineLevel="2">
      <c r="A130" s="302" t="s">
        <v>366</v>
      </c>
      <c r="B130" s="235" t="s">
        <v>181</v>
      </c>
      <c r="C130" s="236" t="str">
        <f>VLOOKUP(A130, 'NZS O&amp;G and CA100'!$B$7:$D$194, 3, FALSE)</f>
        <v>Climate Solutions</v>
      </c>
      <c r="D130" s="310" t="str">
        <f>IF(INDEX('NZS O&amp;G and CA100'!$D$5:$D$193, MATCH($A130, 'NZS O&amp;G and CA100'!$B$5:$B$193, 0)) =$B$4, INDEX('NZS O&amp;G and CA100'!$E$5:$N$193, MATCH($A130, 'NZS O&amp;G and CA100'!$B$5:$B$193, 0),MATCH(D$3, 'NZS O&amp;G and CA100'!$E$3:$N$3, 0)),"")</f>
        <v/>
      </c>
      <c r="E130" s="311" t="str">
        <f>IF(INDEX('NZS O&amp;G and CA100'!$D$5:$D$193, MATCH($A130, 'NZS O&amp;G and CA100'!$B$5:$B$193, 0)) =$B$4, INDEX('NZS O&amp;G and CA100'!$E$5:$N$193, MATCH($A130, 'NZS O&amp;G and CA100'!$B$5:$B$193, 0),MATCH(E$3, 'NZS O&amp;G and CA100'!$E$3:$N$3, 0)),"")</f>
        <v/>
      </c>
      <c r="F130" s="311" t="str">
        <f>IF(INDEX('NZS O&amp;G and CA100'!$D$5:$D$193, MATCH($A130, 'NZS O&amp;G and CA100'!$B$5:$B$193, 0)) =$B$4, INDEX('NZS O&amp;G and CA100'!$E$5:$N$193, MATCH($A130, 'NZS O&amp;G and CA100'!$B$5:$B$193, 0),MATCH(F$3, 'NZS O&amp;G and CA100'!$E$3:$N$3, 0)),"")</f>
        <v/>
      </c>
      <c r="G130" s="311" t="str">
        <f>IF(INDEX('NZS O&amp;G and CA100'!$D$5:$D$193, MATCH($A130, 'NZS O&amp;G and CA100'!$B$5:$B$193, 0)) =$B$4, INDEX('NZS O&amp;G and CA100'!$E$5:$N$193, MATCH($A130, 'NZS O&amp;G and CA100'!$B$5:$B$193, 0),MATCH(G$3, 'NZS O&amp;G and CA100'!$E$3:$N$3, 0)),"")</f>
        <v/>
      </c>
      <c r="H130" s="311" t="str">
        <f>IF(INDEX('NZS O&amp;G and CA100'!$D$5:$D$193, MATCH($A130, 'NZS O&amp;G and CA100'!$B$5:$B$193, 0)) =$B$4, INDEX('NZS O&amp;G and CA100'!$E$5:$N$193, MATCH($A130, 'NZS O&amp;G and CA100'!$B$5:$B$193, 0),MATCH(H$3, 'NZS O&amp;G and CA100'!$E$3:$N$3, 0)),"")</f>
        <v/>
      </c>
      <c r="I130" s="311" t="str">
        <f>IF(INDEX('NZS O&amp;G and CA100'!$D$5:$D$193, MATCH($A130, 'NZS O&amp;G and CA100'!$B$5:$B$193, 0)) =$B$4, INDEX('NZS O&amp;G and CA100'!$E$5:$N$193, MATCH($A130, 'NZS O&amp;G and CA100'!$B$5:$B$193, 0),MATCH(I$3, 'NZS O&amp;G and CA100'!$E$3:$N$3, 0)),"")</f>
        <v/>
      </c>
      <c r="J130" s="311" t="str">
        <f>IF(INDEX('NZS O&amp;G and CA100'!$D$5:$D$193, MATCH($A130, 'NZS O&amp;G and CA100'!$B$5:$B$193, 0)) =$B$4, INDEX('NZS O&amp;G and CA100'!$E$5:$N$193, MATCH($A130, 'NZS O&amp;G and CA100'!$B$5:$B$193, 0),MATCH(J$3, 'NZS O&amp;G and CA100'!$E$3:$N$3, 0)),"")</f>
        <v/>
      </c>
      <c r="K130" s="311" t="str">
        <f>IF(INDEX('NZS O&amp;G and CA100'!$D$5:$D$193, MATCH($A130, 'NZS O&amp;G and CA100'!$B$5:$B$193, 0)) =$B$4, INDEX('NZS O&amp;G and CA100'!$E$5:$N$193, MATCH($A130, 'NZS O&amp;G and CA100'!$B$5:$B$193, 0),MATCH(K$3, 'NZS O&amp;G and CA100'!$E$3:$N$3, 0)),"")</f>
        <v/>
      </c>
      <c r="L130" s="311" t="str">
        <f>IF(INDEX('NZS O&amp;G and CA100'!$D$5:$D$193, MATCH($A130, 'NZS O&amp;G and CA100'!$B$5:$B$193, 0)) =$B$4, INDEX('NZS O&amp;G and CA100'!$E$5:$N$193, MATCH($A130, 'NZS O&amp;G and CA100'!$B$5:$B$193, 0),MATCH(L$3, 'NZS O&amp;G and CA100'!$E$3:$N$3, 0)),"")</f>
        <v/>
      </c>
      <c r="M130" s="312" t="str">
        <f>IF(INDEX('NZS O&amp;G and CA100'!$D$5:$D$193, MATCH($A130, 'NZS O&amp;G and CA100'!$B$5:$B$193, 0)) =$B$4, INDEX('NZS O&amp;G and CA100'!$E$5:$N$193, MATCH($A130, 'NZS O&amp;G and CA100'!$B$5:$B$193, 0),MATCH(M$3, 'NZS O&amp;G and CA100'!$E$3:$N$3, 0)),"")</f>
        <v/>
      </c>
      <c r="O130" s="55" t="str">
        <f>IF(INDEX('NZS O&amp;G and CA100'!$D$5:$D$193, MATCH($A130, 'NZS O&amp;G and CA100'!$B$5:$B$193, 0)) = "Alignment", INDEX('NZS O&amp;G and CA100'!$E$5:$N$193, MATCH($A130, 'NZS O&amp;G and CA100'!$B$5:$B$193, 0),MATCH(O$4, 'NZS O&amp;G and CA100'!$E$3:$N$3, 0)),"")</f>
        <v/>
      </c>
      <c r="P130" s="56" t="str">
        <f>IF(INDEX('NZS O&amp;G and CA100'!$D$5:$D$193, MATCH($A130, 'NZS O&amp;G and CA100'!$B$5:$B$193, 0)) = "Alignment", INDEX('NZS O&amp;G and CA100'!$E$5:$N$193, MATCH($A130, 'NZS O&amp;G and CA100'!$B$5:$B$193, 0),MATCH(P$4, 'NZS O&amp;G and CA100'!$E$3:$N$3, 0)),"")</f>
        <v/>
      </c>
      <c r="Q130" s="56" t="str">
        <f>IF(INDEX('NZS O&amp;G and CA100'!$D$5:$D$193, MATCH($A130, 'NZS O&amp;G and CA100'!$B$5:$B$193, 0)) = "Alignment", INDEX('NZS O&amp;G and CA100'!$E$5:$N$193, MATCH($A130, 'NZS O&amp;G and CA100'!$B$5:$B$193, 0),MATCH(Q$4, 'NZS O&amp;G and CA100'!$E$3:$N$3, 0)),"")</f>
        <v/>
      </c>
      <c r="R130" s="56" t="str">
        <f>IF(INDEX('NZS O&amp;G and CA100'!$D$5:$D$193, MATCH($A130, 'NZS O&amp;G and CA100'!$B$5:$B$193, 0)) = "Alignment", INDEX('NZS O&amp;G and CA100'!$E$5:$N$193, MATCH($A130, 'NZS O&amp;G and CA100'!$B$5:$B$193, 0),MATCH(R$4, 'NZS O&amp;G and CA100'!$E$3:$N$3, 0)),"")</f>
        <v/>
      </c>
      <c r="S130" s="56" t="str">
        <f>IF(INDEX('NZS O&amp;G and CA100'!$D$5:$D$193, MATCH($A130, 'NZS O&amp;G and CA100'!$B$5:$B$193, 0)) = "Alignment", INDEX('NZS O&amp;G and CA100'!$E$5:$N$193, MATCH($A130, 'NZS O&amp;G and CA100'!$B$5:$B$193, 0),MATCH(S$4, 'NZS O&amp;G and CA100'!$E$3:$N$3, 0)),"")</f>
        <v/>
      </c>
      <c r="T130" s="56" t="str">
        <f>IF(INDEX('NZS O&amp;G and CA100'!$D$5:$D$193, MATCH($A130, 'NZS O&amp;G and CA100'!$B$5:$B$193, 0)) = "Alignment", INDEX('NZS O&amp;G and CA100'!$E$5:$N$193, MATCH($A130, 'NZS O&amp;G and CA100'!$B$5:$B$193, 0),MATCH(T$4, 'NZS O&amp;G and CA100'!$E$3:$N$3, 0)),"")</f>
        <v/>
      </c>
      <c r="U130" s="56" t="str">
        <f>IF(INDEX('NZS O&amp;G and CA100'!$D$5:$D$193, MATCH($A130, 'NZS O&amp;G and CA100'!$B$5:$B$193, 0)) = "Alignment", INDEX('NZS O&amp;G and CA100'!$E$5:$N$193, MATCH($A130, 'NZS O&amp;G and CA100'!$B$5:$B$193, 0),MATCH(U$4, 'NZS O&amp;G and CA100'!$E$3:$N$3, 0)),"")</f>
        <v/>
      </c>
      <c r="V130" s="56" t="str">
        <f>IF(INDEX('NZS O&amp;G and CA100'!$D$5:$D$193, MATCH($A130, 'NZS O&amp;G and CA100'!$B$5:$B$193, 0)) = "Alignment", INDEX('NZS O&amp;G and CA100'!$E$5:$N$193, MATCH($A130, 'NZS O&amp;G and CA100'!$B$5:$B$193, 0),MATCH(V$4, 'NZS O&amp;G and CA100'!$E$3:$N$3, 0)),"")</f>
        <v/>
      </c>
      <c r="W130" s="56" t="str">
        <f>IF(INDEX('NZS O&amp;G and CA100'!$D$5:$D$193, MATCH($A130, 'NZS O&amp;G and CA100'!$B$5:$B$193, 0)) = "Alignment", INDEX('NZS O&amp;G and CA100'!$E$5:$N$193, MATCH($A130, 'NZS O&amp;G and CA100'!$B$5:$B$193, 0),MATCH(L$3, 'NZS O&amp;G and CA100'!$E$3:$N$3, 0)),"")</f>
        <v/>
      </c>
      <c r="X130" s="57" t="str">
        <f>IF(INDEX('NZS O&amp;G and CA100'!$D$5:$D$193, MATCH($A130, 'NZS O&amp;G and CA100'!$B$5:$B$193, 0)) = "Alignment", INDEX('NZS O&amp;G and CA100'!$E$5:$N$193, MATCH($A130, 'NZS O&amp;G and CA100'!$B$5:$B$193, 0),MATCH(M$3, 'NZS O&amp;G and CA100'!$E$3:$N$3, 0)),"")</f>
        <v/>
      </c>
      <c r="Z130" s="55" t="str">
        <f>IF(INDEX('NZS O&amp;G and CA100'!$D$5:$D$193, MATCH($A130, 'NZS O&amp;G and CA100'!$B$5:$B$193, 0)) = "Solutions", INDEX('NZS O&amp;G and CA100'!$E$5:$N$193, MATCH($A130, 'NZS O&amp;G and CA100'!$B$5:$B$193, 0),MATCH(Z$4, 'NZS O&amp;G and CA100'!$E$3:$N$3, 0)),"")</f>
        <v/>
      </c>
      <c r="AA130" s="56" t="str">
        <f>IF(INDEX('NZS O&amp;G and CA100'!$D$5:$D$193, MATCH($A130, 'NZS O&amp;G and CA100'!$B$5:$B$193, 0)) = "Solutions", INDEX('NZS O&amp;G and CA100'!$E$5:$N$193, MATCH($A130, 'NZS O&amp;G and CA100'!$B$5:$B$193, 0),MATCH(AA$4, 'NZS O&amp;G and CA100'!$E$3:$N$3, 0)),"")</f>
        <v/>
      </c>
      <c r="AB130" s="56" t="str">
        <f>IF(INDEX('NZS O&amp;G and CA100'!$D$5:$D$193, MATCH($A130, 'NZS O&amp;G and CA100'!$B$5:$B$193, 0)) = "Solutions", INDEX('NZS O&amp;G and CA100'!$E$5:$N$193, MATCH($A130, 'NZS O&amp;G and CA100'!$B$5:$B$193, 0),MATCH(AB$4, 'NZS O&amp;G and CA100'!$E$3:$N$3, 0)),"")</f>
        <v/>
      </c>
      <c r="AC130" s="56" t="str">
        <f>IF(INDEX('NZS O&amp;G and CA100'!$D$5:$D$193, MATCH($A130, 'NZS O&amp;G and CA100'!$B$5:$B$193, 0)) = "Solutions", INDEX('NZS O&amp;G and CA100'!$E$5:$N$193, MATCH($A130, 'NZS O&amp;G and CA100'!$B$5:$B$193, 0),MATCH(AC$4, 'NZS O&amp;G and CA100'!$E$3:$N$3, 0)),"")</f>
        <v/>
      </c>
      <c r="AD130" s="56" t="str">
        <f>IF(INDEX('NZS O&amp;G and CA100'!$D$5:$D$193, MATCH($A130, 'NZS O&amp;G and CA100'!$B$5:$B$193, 0)) = "Solutions", INDEX('NZS O&amp;G and CA100'!$E$5:$N$193, MATCH($A130, 'NZS O&amp;G and CA100'!$B$5:$B$193, 0),MATCH(AD$4, 'NZS O&amp;G and CA100'!$E$3:$N$3, 0)),"")</f>
        <v/>
      </c>
      <c r="AE130" s="56" t="str">
        <f>IF(INDEX('NZS O&amp;G and CA100'!$D$5:$D$193, MATCH($A130, 'NZS O&amp;G and CA100'!$B$5:$B$193, 0)) = "Solutions", INDEX('NZS O&amp;G and CA100'!$E$5:$N$193, MATCH($A130, 'NZS O&amp;G and CA100'!$B$5:$B$193, 0),MATCH(AE$4, 'NZS O&amp;G and CA100'!$E$3:$N$3, 0)),"")</f>
        <v/>
      </c>
      <c r="AF130" s="56" t="str">
        <f>IF(INDEX('NZS O&amp;G and CA100'!$D$5:$D$193, MATCH($A130, 'NZS O&amp;G and CA100'!$B$5:$B$193, 0)) = "Solutions", INDEX('NZS O&amp;G and CA100'!$E$5:$N$193, MATCH($A130, 'NZS O&amp;G and CA100'!$B$5:$B$193, 0),MATCH(AF$4, 'NZS O&amp;G and CA100'!$E$3:$N$3, 0)),"")</f>
        <v/>
      </c>
      <c r="AG130" s="56" t="str">
        <f>IF(INDEX('NZS O&amp;G and CA100'!$D$5:$D$193, MATCH($A130, 'NZS O&amp;G and CA100'!$B$5:$B$193, 0)) = "Solutions", INDEX('NZS O&amp;G and CA100'!$E$5:$N$193, MATCH($A130, 'NZS O&amp;G and CA100'!$B$5:$B$193, 0),MATCH(AG$4, 'NZS O&amp;G and CA100'!$E$3:$N$3, 0)),"")</f>
        <v/>
      </c>
      <c r="AH130" s="56" t="str">
        <f>IF(INDEX('NZS O&amp;G and CA100'!$D$5:$D$193, MATCH($A130, 'NZS O&amp;G and CA100'!$B$5:$B$193, 0)) = "Solutions", INDEX('NZS O&amp;G and CA100'!$E$5:$N$193, MATCH($A130, 'NZS O&amp;G and CA100'!$B$5:$B$193, 0),MATCH(AH$4, 'NZS O&amp;G and CA100'!$E$3:$N$3, 0)),"")</f>
        <v/>
      </c>
      <c r="AI130" s="57" t="str">
        <f>IF(INDEX('NZS O&amp;G and CA100'!$D$5:$D$193, MATCH($A130, 'NZS O&amp;G and CA100'!$B$5:$B$193, 0)) = "Solutions", INDEX('NZS O&amp;G and CA100'!$E$5:$N$193, MATCH($A130, 'NZS O&amp;G and CA100'!$B$5:$B$193, 0),MATCH(AI$4, 'NZS O&amp;G and CA100'!$E$3:$N$3, 0)),"")</f>
        <v/>
      </c>
      <c r="AK130" s="49"/>
      <c r="AL130" s="49"/>
      <c r="AM130" s="49"/>
      <c r="AN130" s="49"/>
      <c r="AO130" s="49"/>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row>
    <row r="131" spans="1:108" s="1" customFormat="1" ht="20.149999999999999" customHeight="1" outlineLevel="2">
      <c r="A131" s="302" t="s">
        <v>367</v>
      </c>
      <c r="B131" s="235" t="s">
        <v>182</v>
      </c>
      <c r="C131" s="236" t="str">
        <f>VLOOKUP(A131, 'NZS O&amp;G and CA100'!$B$7:$D$194, 3, FALSE)</f>
        <v>Climate Solutions</v>
      </c>
      <c r="D131" s="310" t="str">
        <f>IF(INDEX('NZS O&amp;G and CA100'!$D$5:$D$193, MATCH($A131, 'NZS O&amp;G and CA100'!$B$5:$B$193, 0)) =$B$4, INDEX('NZS O&amp;G and CA100'!$E$5:$N$193, MATCH($A131, 'NZS O&amp;G and CA100'!$B$5:$B$193, 0),MATCH(D$3, 'NZS O&amp;G and CA100'!$E$3:$N$3, 0)),"")</f>
        <v/>
      </c>
      <c r="E131" s="311" t="str">
        <f>IF(INDEX('NZS O&amp;G and CA100'!$D$5:$D$193, MATCH($A131, 'NZS O&amp;G and CA100'!$B$5:$B$193, 0)) =$B$4, INDEX('NZS O&amp;G and CA100'!$E$5:$N$193, MATCH($A131, 'NZS O&amp;G and CA100'!$B$5:$B$193, 0),MATCH(E$3, 'NZS O&amp;G and CA100'!$E$3:$N$3, 0)),"")</f>
        <v/>
      </c>
      <c r="F131" s="311" t="str">
        <f>IF(INDEX('NZS O&amp;G and CA100'!$D$5:$D$193, MATCH($A131, 'NZS O&amp;G and CA100'!$B$5:$B$193, 0)) =$B$4, INDEX('NZS O&amp;G and CA100'!$E$5:$N$193, MATCH($A131, 'NZS O&amp;G and CA100'!$B$5:$B$193, 0),MATCH(F$3, 'NZS O&amp;G and CA100'!$E$3:$N$3, 0)),"")</f>
        <v/>
      </c>
      <c r="G131" s="311" t="str">
        <f>IF(INDEX('NZS O&amp;G and CA100'!$D$5:$D$193, MATCH($A131, 'NZS O&amp;G and CA100'!$B$5:$B$193, 0)) =$B$4, INDEX('NZS O&amp;G and CA100'!$E$5:$N$193, MATCH($A131, 'NZS O&amp;G and CA100'!$B$5:$B$193, 0),MATCH(G$3, 'NZS O&amp;G and CA100'!$E$3:$N$3, 0)),"")</f>
        <v/>
      </c>
      <c r="H131" s="311" t="str">
        <f>IF(INDEX('NZS O&amp;G and CA100'!$D$5:$D$193, MATCH($A131, 'NZS O&amp;G and CA100'!$B$5:$B$193, 0)) =$B$4, INDEX('NZS O&amp;G and CA100'!$E$5:$N$193, MATCH($A131, 'NZS O&amp;G and CA100'!$B$5:$B$193, 0),MATCH(H$3, 'NZS O&amp;G and CA100'!$E$3:$N$3, 0)),"")</f>
        <v/>
      </c>
      <c r="I131" s="311" t="str">
        <f>IF(INDEX('NZS O&amp;G and CA100'!$D$5:$D$193, MATCH($A131, 'NZS O&amp;G and CA100'!$B$5:$B$193, 0)) =$B$4, INDEX('NZS O&amp;G and CA100'!$E$5:$N$193, MATCH($A131, 'NZS O&amp;G and CA100'!$B$5:$B$193, 0),MATCH(I$3, 'NZS O&amp;G and CA100'!$E$3:$N$3, 0)),"")</f>
        <v/>
      </c>
      <c r="J131" s="311" t="str">
        <f>IF(INDEX('NZS O&amp;G and CA100'!$D$5:$D$193, MATCH($A131, 'NZS O&amp;G and CA100'!$B$5:$B$193, 0)) =$B$4, INDEX('NZS O&amp;G and CA100'!$E$5:$N$193, MATCH($A131, 'NZS O&amp;G and CA100'!$B$5:$B$193, 0),MATCH(J$3, 'NZS O&amp;G and CA100'!$E$3:$N$3, 0)),"")</f>
        <v/>
      </c>
      <c r="K131" s="311" t="str">
        <f>IF(INDEX('NZS O&amp;G and CA100'!$D$5:$D$193, MATCH($A131, 'NZS O&amp;G and CA100'!$B$5:$B$193, 0)) =$B$4, INDEX('NZS O&amp;G and CA100'!$E$5:$N$193, MATCH($A131, 'NZS O&amp;G and CA100'!$B$5:$B$193, 0),MATCH(K$3, 'NZS O&amp;G and CA100'!$E$3:$N$3, 0)),"")</f>
        <v/>
      </c>
      <c r="L131" s="311" t="str">
        <f>IF(INDEX('NZS O&amp;G and CA100'!$D$5:$D$193, MATCH($A131, 'NZS O&amp;G and CA100'!$B$5:$B$193, 0)) =$B$4, INDEX('NZS O&amp;G and CA100'!$E$5:$N$193, MATCH($A131, 'NZS O&amp;G and CA100'!$B$5:$B$193, 0),MATCH(L$3, 'NZS O&amp;G and CA100'!$E$3:$N$3, 0)),"")</f>
        <v/>
      </c>
      <c r="M131" s="312" t="str">
        <f>IF(INDEX('NZS O&amp;G and CA100'!$D$5:$D$193, MATCH($A131, 'NZS O&amp;G and CA100'!$B$5:$B$193, 0)) =$B$4, INDEX('NZS O&amp;G and CA100'!$E$5:$N$193, MATCH($A131, 'NZS O&amp;G and CA100'!$B$5:$B$193, 0),MATCH(M$3, 'NZS O&amp;G and CA100'!$E$3:$N$3, 0)),"")</f>
        <v/>
      </c>
      <c r="O131" s="55" t="str">
        <f>IF(INDEX('NZS O&amp;G and CA100'!$D$5:$D$193, MATCH($A131, 'NZS O&amp;G and CA100'!$B$5:$B$193, 0)) = "Alignment", INDEX('NZS O&amp;G and CA100'!$E$5:$N$193, MATCH($A131, 'NZS O&amp;G and CA100'!$B$5:$B$193, 0),MATCH(O$4, 'NZS O&amp;G and CA100'!$E$3:$N$3, 0)),"")</f>
        <v/>
      </c>
      <c r="P131" s="56" t="str">
        <f>IF(INDEX('NZS O&amp;G and CA100'!$D$5:$D$193, MATCH($A131, 'NZS O&amp;G and CA100'!$B$5:$B$193, 0)) = "Alignment", INDEX('NZS O&amp;G and CA100'!$E$5:$N$193, MATCH($A131, 'NZS O&amp;G and CA100'!$B$5:$B$193, 0),MATCH(P$4, 'NZS O&amp;G and CA100'!$E$3:$N$3, 0)),"")</f>
        <v/>
      </c>
      <c r="Q131" s="56" t="str">
        <f>IF(INDEX('NZS O&amp;G and CA100'!$D$5:$D$193, MATCH($A131, 'NZS O&amp;G and CA100'!$B$5:$B$193, 0)) = "Alignment", INDEX('NZS O&amp;G and CA100'!$E$5:$N$193, MATCH($A131, 'NZS O&amp;G and CA100'!$B$5:$B$193, 0),MATCH(Q$4, 'NZS O&amp;G and CA100'!$E$3:$N$3, 0)),"")</f>
        <v/>
      </c>
      <c r="R131" s="56" t="str">
        <f>IF(INDEX('NZS O&amp;G and CA100'!$D$5:$D$193, MATCH($A131, 'NZS O&amp;G and CA100'!$B$5:$B$193, 0)) = "Alignment", INDEX('NZS O&amp;G and CA100'!$E$5:$N$193, MATCH($A131, 'NZS O&amp;G and CA100'!$B$5:$B$193, 0),MATCH(R$4, 'NZS O&amp;G and CA100'!$E$3:$N$3, 0)),"")</f>
        <v/>
      </c>
      <c r="S131" s="56" t="str">
        <f>IF(INDEX('NZS O&amp;G and CA100'!$D$5:$D$193, MATCH($A131, 'NZS O&amp;G and CA100'!$B$5:$B$193, 0)) = "Alignment", INDEX('NZS O&amp;G and CA100'!$E$5:$N$193, MATCH($A131, 'NZS O&amp;G and CA100'!$B$5:$B$193, 0),MATCH(S$4, 'NZS O&amp;G and CA100'!$E$3:$N$3, 0)),"")</f>
        <v/>
      </c>
      <c r="T131" s="56" t="str">
        <f>IF(INDEX('NZS O&amp;G and CA100'!$D$5:$D$193, MATCH($A131, 'NZS O&amp;G and CA100'!$B$5:$B$193, 0)) = "Alignment", INDEX('NZS O&amp;G and CA100'!$E$5:$N$193, MATCH($A131, 'NZS O&amp;G and CA100'!$B$5:$B$193, 0),MATCH(T$4, 'NZS O&amp;G and CA100'!$E$3:$N$3, 0)),"")</f>
        <v/>
      </c>
      <c r="U131" s="56" t="str">
        <f>IF(INDEX('NZS O&amp;G and CA100'!$D$5:$D$193, MATCH($A131, 'NZS O&amp;G and CA100'!$B$5:$B$193, 0)) = "Alignment", INDEX('NZS O&amp;G and CA100'!$E$5:$N$193, MATCH($A131, 'NZS O&amp;G and CA100'!$B$5:$B$193, 0),MATCH(U$4, 'NZS O&amp;G and CA100'!$E$3:$N$3, 0)),"")</f>
        <v/>
      </c>
      <c r="V131" s="56" t="str">
        <f>IF(INDEX('NZS O&amp;G and CA100'!$D$5:$D$193, MATCH($A131, 'NZS O&amp;G and CA100'!$B$5:$B$193, 0)) = "Alignment", INDEX('NZS O&amp;G and CA100'!$E$5:$N$193, MATCH($A131, 'NZS O&amp;G and CA100'!$B$5:$B$193, 0),MATCH(V$4, 'NZS O&amp;G and CA100'!$E$3:$N$3, 0)),"")</f>
        <v/>
      </c>
      <c r="W131" s="56" t="str">
        <f>IF(INDEX('NZS O&amp;G and CA100'!$D$5:$D$193, MATCH($A131, 'NZS O&amp;G and CA100'!$B$5:$B$193, 0)) = "Alignment", INDEX('NZS O&amp;G and CA100'!$E$5:$N$193, MATCH($A131, 'NZS O&amp;G and CA100'!$B$5:$B$193, 0),MATCH(L$3, 'NZS O&amp;G and CA100'!$E$3:$N$3, 0)),"")</f>
        <v/>
      </c>
      <c r="X131" s="57" t="str">
        <f>IF(INDEX('NZS O&amp;G and CA100'!$D$5:$D$193, MATCH($A131, 'NZS O&amp;G and CA100'!$B$5:$B$193, 0)) = "Alignment", INDEX('NZS O&amp;G and CA100'!$E$5:$N$193, MATCH($A131, 'NZS O&amp;G and CA100'!$B$5:$B$193, 0),MATCH(M$3, 'NZS O&amp;G and CA100'!$E$3:$N$3, 0)),"")</f>
        <v/>
      </c>
      <c r="Z131" s="55" t="str">
        <f>IF(INDEX('NZS O&amp;G and CA100'!$D$5:$D$193, MATCH($A131, 'NZS O&amp;G and CA100'!$B$5:$B$193, 0)) = "Solutions", INDEX('NZS O&amp;G and CA100'!$E$5:$N$193, MATCH($A131, 'NZS O&amp;G and CA100'!$B$5:$B$193, 0),MATCH(Z$4, 'NZS O&amp;G and CA100'!$E$3:$N$3, 0)),"")</f>
        <v/>
      </c>
      <c r="AA131" s="56" t="str">
        <f>IF(INDEX('NZS O&amp;G and CA100'!$D$5:$D$193, MATCH($A131, 'NZS O&amp;G and CA100'!$B$5:$B$193, 0)) = "Solutions", INDEX('NZS O&amp;G and CA100'!$E$5:$N$193, MATCH($A131, 'NZS O&amp;G and CA100'!$B$5:$B$193, 0),MATCH(AA$4, 'NZS O&amp;G and CA100'!$E$3:$N$3, 0)),"")</f>
        <v/>
      </c>
      <c r="AB131" s="56" t="str">
        <f>IF(INDEX('NZS O&amp;G and CA100'!$D$5:$D$193, MATCH($A131, 'NZS O&amp;G and CA100'!$B$5:$B$193, 0)) = "Solutions", INDEX('NZS O&amp;G and CA100'!$E$5:$N$193, MATCH($A131, 'NZS O&amp;G and CA100'!$B$5:$B$193, 0),MATCH(AB$4, 'NZS O&amp;G and CA100'!$E$3:$N$3, 0)),"")</f>
        <v/>
      </c>
      <c r="AC131" s="56" t="str">
        <f>IF(INDEX('NZS O&amp;G and CA100'!$D$5:$D$193, MATCH($A131, 'NZS O&amp;G and CA100'!$B$5:$B$193, 0)) = "Solutions", INDEX('NZS O&amp;G and CA100'!$E$5:$N$193, MATCH($A131, 'NZS O&amp;G and CA100'!$B$5:$B$193, 0),MATCH(AC$4, 'NZS O&amp;G and CA100'!$E$3:$N$3, 0)),"")</f>
        <v/>
      </c>
      <c r="AD131" s="56" t="str">
        <f>IF(INDEX('NZS O&amp;G and CA100'!$D$5:$D$193, MATCH($A131, 'NZS O&amp;G and CA100'!$B$5:$B$193, 0)) = "Solutions", INDEX('NZS O&amp;G and CA100'!$E$5:$N$193, MATCH($A131, 'NZS O&amp;G and CA100'!$B$5:$B$193, 0),MATCH(AD$4, 'NZS O&amp;G and CA100'!$E$3:$N$3, 0)),"")</f>
        <v/>
      </c>
      <c r="AE131" s="56" t="str">
        <f>IF(INDEX('NZS O&amp;G and CA100'!$D$5:$D$193, MATCH($A131, 'NZS O&amp;G and CA100'!$B$5:$B$193, 0)) = "Solutions", INDEX('NZS O&amp;G and CA100'!$E$5:$N$193, MATCH($A131, 'NZS O&amp;G and CA100'!$B$5:$B$193, 0),MATCH(AE$4, 'NZS O&amp;G and CA100'!$E$3:$N$3, 0)),"")</f>
        <v/>
      </c>
      <c r="AF131" s="56" t="str">
        <f>IF(INDEX('NZS O&amp;G and CA100'!$D$5:$D$193, MATCH($A131, 'NZS O&amp;G and CA100'!$B$5:$B$193, 0)) = "Solutions", INDEX('NZS O&amp;G and CA100'!$E$5:$N$193, MATCH($A131, 'NZS O&amp;G and CA100'!$B$5:$B$193, 0),MATCH(AF$4, 'NZS O&amp;G and CA100'!$E$3:$N$3, 0)),"")</f>
        <v/>
      </c>
      <c r="AG131" s="56" t="str">
        <f>IF(INDEX('NZS O&amp;G and CA100'!$D$5:$D$193, MATCH($A131, 'NZS O&amp;G and CA100'!$B$5:$B$193, 0)) = "Solutions", INDEX('NZS O&amp;G and CA100'!$E$5:$N$193, MATCH($A131, 'NZS O&amp;G and CA100'!$B$5:$B$193, 0),MATCH(AG$4, 'NZS O&amp;G and CA100'!$E$3:$N$3, 0)),"")</f>
        <v/>
      </c>
      <c r="AH131" s="56" t="str">
        <f>IF(INDEX('NZS O&amp;G and CA100'!$D$5:$D$193, MATCH($A131, 'NZS O&amp;G and CA100'!$B$5:$B$193, 0)) = "Solutions", INDEX('NZS O&amp;G and CA100'!$E$5:$N$193, MATCH($A131, 'NZS O&amp;G and CA100'!$B$5:$B$193, 0),MATCH(AH$4, 'NZS O&amp;G and CA100'!$E$3:$N$3, 0)),"")</f>
        <v/>
      </c>
      <c r="AI131" s="57" t="str">
        <f>IF(INDEX('NZS O&amp;G and CA100'!$D$5:$D$193, MATCH($A131, 'NZS O&amp;G and CA100'!$B$5:$B$193, 0)) = "Solutions", INDEX('NZS O&amp;G and CA100'!$E$5:$N$193, MATCH($A131, 'NZS O&amp;G and CA100'!$B$5:$B$193, 0),MATCH(AI$4, 'NZS O&amp;G and CA100'!$E$3:$N$3, 0)),"")</f>
        <v/>
      </c>
      <c r="AK131" s="49"/>
      <c r="AL131" s="49"/>
      <c r="AM131" s="49"/>
      <c r="AN131" s="49"/>
      <c r="AO131" s="49"/>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row>
    <row r="132" spans="1:108" s="1" customFormat="1" ht="20.149999999999999" customHeight="1" outlineLevel="2">
      <c r="A132" s="302" t="s">
        <v>368</v>
      </c>
      <c r="B132" s="235" t="s">
        <v>183</v>
      </c>
      <c r="C132" s="236" t="str">
        <f>VLOOKUP(A132, 'NZS O&amp;G and CA100'!$B$7:$D$194, 3, FALSE)</f>
        <v>Climate Solutions</v>
      </c>
      <c r="D132" s="310" t="str">
        <f>IF(INDEX('NZS O&amp;G and CA100'!$D$5:$D$193, MATCH($A132, 'NZS O&amp;G and CA100'!$B$5:$B$193, 0)) =$B$4, INDEX('NZS O&amp;G and CA100'!$E$5:$N$193, MATCH($A132, 'NZS O&amp;G and CA100'!$B$5:$B$193, 0),MATCH(D$3, 'NZS O&amp;G and CA100'!$E$3:$N$3, 0)),"")</f>
        <v/>
      </c>
      <c r="E132" s="311" t="str">
        <f>IF(INDEX('NZS O&amp;G and CA100'!$D$5:$D$193, MATCH($A132, 'NZS O&amp;G and CA100'!$B$5:$B$193, 0)) =$B$4, INDEX('NZS O&amp;G and CA100'!$E$5:$N$193, MATCH($A132, 'NZS O&amp;G and CA100'!$B$5:$B$193, 0),MATCH(E$3, 'NZS O&amp;G and CA100'!$E$3:$N$3, 0)),"")</f>
        <v/>
      </c>
      <c r="F132" s="311" t="str">
        <f>IF(INDEX('NZS O&amp;G and CA100'!$D$5:$D$193, MATCH($A132, 'NZS O&amp;G and CA100'!$B$5:$B$193, 0)) =$B$4, INDEX('NZS O&amp;G and CA100'!$E$5:$N$193, MATCH($A132, 'NZS O&amp;G and CA100'!$B$5:$B$193, 0),MATCH(F$3, 'NZS O&amp;G and CA100'!$E$3:$N$3, 0)),"")</f>
        <v/>
      </c>
      <c r="G132" s="311" t="str">
        <f>IF(INDEX('NZS O&amp;G and CA100'!$D$5:$D$193, MATCH($A132, 'NZS O&amp;G and CA100'!$B$5:$B$193, 0)) =$B$4, INDEX('NZS O&amp;G and CA100'!$E$5:$N$193, MATCH($A132, 'NZS O&amp;G and CA100'!$B$5:$B$193, 0),MATCH(G$3, 'NZS O&amp;G and CA100'!$E$3:$N$3, 0)),"")</f>
        <v/>
      </c>
      <c r="H132" s="311" t="str">
        <f>IF(INDEX('NZS O&amp;G and CA100'!$D$5:$D$193, MATCH($A132, 'NZS O&amp;G and CA100'!$B$5:$B$193, 0)) =$B$4, INDEX('NZS O&amp;G and CA100'!$E$5:$N$193, MATCH($A132, 'NZS O&amp;G and CA100'!$B$5:$B$193, 0),MATCH(H$3, 'NZS O&amp;G and CA100'!$E$3:$N$3, 0)),"")</f>
        <v/>
      </c>
      <c r="I132" s="311" t="str">
        <f>IF(INDEX('NZS O&amp;G and CA100'!$D$5:$D$193, MATCH($A132, 'NZS O&amp;G and CA100'!$B$5:$B$193, 0)) =$B$4, INDEX('NZS O&amp;G and CA100'!$E$5:$N$193, MATCH($A132, 'NZS O&amp;G and CA100'!$B$5:$B$193, 0),MATCH(I$3, 'NZS O&amp;G and CA100'!$E$3:$N$3, 0)),"")</f>
        <v/>
      </c>
      <c r="J132" s="311" t="str">
        <f>IF(INDEX('NZS O&amp;G and CA100'!$D$5:$D$193, MATCH($A132, 'NZS O&amp;G and CA100'!$B$5:$B$193, 0)) =$B$4, INDEX('NZS O&amp;G and CA100'!$E$5:$N$193, MATCH($A132, 'NZS O&amp;G and CA100'!$B$5:$B$193, 0),MATCH(J$3, 'NZS O&amp;G and CA100'!$E$3:$N$3, 0)),"")</f>
        <v/>
      </c>
      <c r="K132" s="311" t="str">
        <f>IF(INDEX('NZS O&amp;G and CA100'!$D$5:$D$193, MATCH($A132, 'NZS O&amp;G and CA100'!$B$5:$B$193, 0)) =$B$4, INDEX('NZS O&amp;G and CA100'!$E$5:$N$193, MATCH($A132, 'NZS O&amp;G and CA100'!$B$5:$B$193, 0),MATCH(K$3, 'NZS O&amp;G and CA100'!$E$3:$N$3, 0)),"")</f>
        <v/>
      </c>
      <c r="L132" s="311" t="str">
        <f>IF(INDEX('NZS O&amp;G and CA100'!$D$5:$D$193, MATCH($A132, 'NZS O&amp;G and CA100'!$B$5:$B$193, 0)) =$B$4, INDEX('NZS O&amp;G and CA100'!$E$5:$N$193, MATCH($A132, 'NZS O&amp;G and CA100'!$B$5:$B$193, 0),MATCH(L$3, 'NZS O&amp;G and CA100'!$E$3:$N$3, 0)),"")</f>
        <v/>
      </c>
      <c r="M132" s="312" t="str">
        <f>IF(INDEX('NZS O&amp;G and CA100'!$D$5:$D$193, MATCH($A132, 'NZS O&amp;G and CA100'!$B$5:$B$193, 0)) =$B$4, INDEX('NZS O&amp;G and CA100'!$E$5:$N$193, MATCH($A132, 'NZS O&amp;G and CA100'!$B$5:$B$193, 0),MATCH(M$3, 'NZS O&amp;G and CA100'!$E$3:$N$3, 0)),"")</f>
        <v/>
      </c>
      <c r="O132" s="55" t="str">
        <f>IF(INDEX('NZS O&amp;G and CA100'!$D$5:$D$193, MATCH($A132, 'NZS O&amp;G and CA100'!$B$5:$B$193, 0)) = "Alignment", INDEX('NZS O&amp;G and CA100'!$E$5:$N$193, MATCH($A132, 'NZS O&amp;G and CA100'!$B$5:$B$193, 0),MATCH(O$4, 'NZS O&amp;G and CA100'!$E$3:$N$3, 0)),"")</f>
        <v/>
      </c>
      <c r="P132" s="56" t="str">
        <f>IF(INDEX('NZS O&amp;G and CA100'!$D$5:$D$193, MATCH($A132, 'NZS O&amp;G and CA100'!$B$5:$B$193, 0)) = "Alignment", INDEX('NZS O&amp;G and CA100'!$E$5:$N$193, MATCH($A132, 'NZS O&amp;G and CA100'!$B$5:$B$193, 0),MATCH(P$4, 'NZS O&amp;G and CA100'!$E$3:$N$3, 0)),"")</f>
        <v/>
      </c>
      <c r="Q132" s="56" t="str">
        <f>IF(INDEX('NZS O&amp;G and CA100'!$D$5:$D$193, MATCH($A132, 'NZS O&amp;G and CA100'!$B$5:$B$193, 0)) = "Alignment", INDEX('NZS O&amp;G and CA100'!$E$5:$N$193, MATCH($A132, 'NZS O&amp;G and CA100'!$B$5:$B$193, 0),MATCH(Q$4, 'NZS O&amp;G and CA100'!$E$3:$N$3, 0)),"")</f>
        <v/>
      </c>
      <c r="R132" s="56" t="str">
        <f>IF(INDEX('NZS O&amp;G and CA100'!$D$5:$D$193, MATCH($A132, 'NZS O&amp;G and CA100'!$B$5:$B$193, 0)) = "Alignment", INDEX('NZS O&amp;G and CA100'!$E$5:$N$193, MATCH($A132, 'NZS O&amp;G and CA100'!$B$5:$B$193, 0),MATCH(R$4, 'NZS O&amp;G and CA100'!$E$3:$N$3, 0)),"")</f>
        <v/>
      </c>
      <c r="S132" s="56" t="str">
        <f>IF(INDEX('NZS O&amp;G and CA100'!$D$5:$D$193, MATCH($A132, 'NZS O&amp;G and CA100'!$B$5:$B$193, 0)) = "Alignment", INDEX('NZS O&amp;G and CA100'!$E$5:$N$193, MATCH($A132, 'NZS O&amp;G and CA100'!$B$5:$B$193, 0),MATCH(S$4, 'NZS O&amp;G and CA100'!$E$3:$N$3, 0)),"")</f>
        <v/>
      </c>
      <c r="T132" s="56" t="str">
        <f>IF(INDEX('NZS O&amp;G and CA100'!$D$5:$D$193, MATCH($A132, 'NZS O&amp;G and CA100'!$B$5:$B$193, 0)) = "Alignment", INDEX('NZS O&amp;G and CA100'!$E$5:$N$193, MATCH($A132, 'NZS O&amp;G and CA100'!$B$5:$B$193, 0),MATCH(T$4, 'NZS O&amp;G and CA100'!$E$3:$N$3, 0)),"")</f>
        <v/>
      </c>
      <c r="U132" s="56" t="str">
        <f>IF(INDEX('NZS O&amp;G and CA100'!$D$5:$D$193, MATCH($A132, 'NZS O&amp;G and CA100'!$B$5:$B$193, 0)) = "Alignment", INDEX('NZS O&amp;G and CA100'!$E$5:$N$193, MATCH($A132, 'NZS O&amp;G and CA100'!$B$5:$B$193, 0),MATCH(U$4, 'NZS O&amp;G and CA100'!$E$3:$N$3, 0)),"")</f>
        <v/>
      </c>
      <c r="V132" s="56" t="str">
        <f>IF(INDEX('NZS O&amp;G and CA100'!$D$5:$D$193, MATCH($A132, 'NZS O&amp;G and CA100'!$B$5:$B$193, 0)) = "Alignment", INDEX('NZS O&amp;G and CA100'!$E$5:$N$193, MATCH($A132, 'NZS O&amp;G and CA100'!$B$5:$B$193, 0),MATCH(V$4, 'NZS O&amp;G and CA100'!$E$3:$N$3, 0)),"")</f>
        <v/>
      </c>
      <c r="W132" s="56" t="str">
        <f>IF(INDEX('NZS O&amp;G and CA100'!$D$5:$D$193, MATCH($A132, 'NZS O&amp;G and CA100'!$B$5:$B$193, 0)) = "Alignment", INDEX('NZS O&amp;G and CA100'!$E$5:$N$193, MATCH($A132, 'NZS O&amp;G and CA100'!$B$5:$B$193, 0),MATCH(L$3, 'NZS O&amp;G and CA100'!$E$3:$N$3, 0)),"")</f>
        <v/>
      </c>
      <c r="X132" s="57" t="str">
        <f>IF(INDEX('NZS O&amp;G and CA100'!$D$5:$D$193, MATCH($A132, 'NZS O&amp;G and CA100'!$B$5:$B$193, 0)) = "Alignment", INDEX('NZS O&amp;G and CA100'!$E$5:$N$193, MATCH($A132, 'NZS O&amp;G and CA100'!$B$5:$B$193, 0),MATCH(M$3, 'NZS O&amp;G and CA100'!$E$3:$N$3, 0)),"")</f>
        <v/>
      </c>
      <c r="Z132" s="55" t="str">
        <f>IF(INDEX('NZS O&amp;G and CA100'!$D$5:$D$193, MATCH($A132, 'NZS O&amp;G and CA100'!$B$5:$B$193, 0)) = "Solutions", INDEX('NZS O&amp;G and CA100'!$E$5:$N$193, MATCH($A132, 'NZS O&amp;G and CA100'!$B$5:$B$193, 0),MATCH(Z$4, 'NZS O&amp;G and CA100'!$E$3:$N$3, 0)),"")</f>
        <v/>
      </c>
      <c r="AA132" s="56" t="str">
        <f>IF(INDEX('NZS O&amp;G and CA100'!$D$5:$D$193, MATCH($A132, 'NZS O&amp;G and CA100'!$B$5:$B$193, 0)) = "Solutions", INDEX('NZS O&amp;G and CA100'!$E$5:$N$193, MATCH($A132, 'NZS O&amp;G and CA100'!$B$5:$B$193, 0),MATCH(AA$4, 'NZS O&amp;G and CA100'!$E$3:$N$3, 0)),"")</f>
        <v/>
      </c>
      <c r="AB132" s="56" t="str">
        <f>IF(INDEX('NZS O&amp;G and CA100'!$D$5:$D$193, MATCH($A132, 'NZS O&amp;G and CA100'!$B$5:$B$193, 0)) = "Solutions", INDEX('NZS O&amp;G and CA100'!$E$5:$N$193, MATCH($A132, 'NZS O&amp;G and CA100'!$B$5:$B$193, 0),MATCH(AB$4, 'NZS O&amp;G and CA100'!$E$3:$N$3, 0)),"")</f>
        <v/>
      </c>
      <c r="AC132" s="56" t="str">
        <f>IF(INDEX('NZS O&amp;G and CA100'!$D$5:$D$193, MATCH($A132, 'NZS O&amp;G and CA100'!$B$5:$B$193, 0)) = "Solutions", INDEX('NZS O&amp;G and CA100'!$E$5:$N$193, MATCH($A132, 'NZS O&amp;G and CA100'!$B$5:$B$193, 0),MATCH(AC$4, 'NZS O&amp;G and CA100'!$E$3:$N$3, 0)),"")</f>
        <v/>
      </c>
      <c r="AD132" s="56" t="str">
        <f>IF(INDEX('NZS O&amp;G and CA100'!$D$5:$D$193, MATCH($A132, 'NZS O&amp;G and CA100'!$B$5:$B$193, 0)) = "Solutions", INDEX('NZS O&amp;G and CA100'!$E$5:$N$193, MATCH($A132, 'NZS O&amp;G and CA100'!$B$5:$B$193, 0),MATCH(AD$4, 'NZS O&amp;G and CA100'!$E$3:$N$3, 0)),"")</f>
        <v/>
      </c>
      <c r="AE132" s="56" t="str">
        <f>IF(INDEX('NZS O&amp;G and CA100'!$D$5:$D$193, MATCH($A132, 'NZS O&amp;G and CA100'!$B$5:$B$193, 0)) = "Solutions", INDEX('NZS O&amp;G and CA100'!$E$5:$N$193, MATCH($A132, 'NZS O&amp;G and CA100'!$B$5:$B$193, 0),MATCH(AE$4, 'NZS O&amp;G and CA100'!$E$3:$N$3, 0)),"")</f>
        <v/>
      </c>
      <c r="AF132" s="56" t="str">
        <f>IF(INDEX('NZS O&amp;G and CA100'!$D$5:$D$193, MATCH($A132, 'NZS O&amp;G and CA100'!$B$5:$B$193, 0)) = "Solutions", INDEX('NZS O&amp;G and CA100'!$E$5:$N$193, MATCH($A132, 'NZS O&amp;G and CA100'!$B$5:$B$193, 0),MATCH(AF$4, 'NZS O&amp;G and CA100'!$E$3:$N$3, 0)),"")</f>
        <v/>
      </c>
      <c r="AG132" s="56" t="str">
        <f>IF(INDEX('NZS O&amp;G and CA100'!$D$5:$D$193, MATCH($A132, 'NZS O&amp;G and CA100'!$B$5:$B$193, 0)) = "Solutions", INDEX('NZS O&amp;G and CA100'!$E$5:$N$193, MATCH($A132, 'NZS O&amp;G and CA100'!$B$5:$B$193, 0),MATCH(AG$4, 'NZS O&amp;G and CA100'!$E$3:$N$3, 0)),"")</f>
        <v/>
      </c>
      <c r="AH132" s="56" t="str">
        <f>IF(INDEX('NZS O&amp;G and CA100'!$D$5:$D$193, MATCH($A132, 'NZS O&amp;G and CA100'!$B$5:$B$193, 0)) = "Solutions", INDEX('NZS O&amp;G and CA100'!$E$5:$N$193, MATCH($A132, 'NZS O&amp;G and CA100'!$B$5:$B$193, 0),MATCH(AH$4, 'NZS O&amp;G and CA100'!$E$3:$N$3, 0)),"")</f>
        <v/>
      </c>
      <c r="AI132" s="57" t="str">
        <f>IF(INDEX('NZS O&amp;G and CA100'!$D$5:$D$193, MATCH($A132, 'NZS O&amp;G and CA100'!$B$5:$B$193, 0)) = "Solutions", INDEX('NZS O&amp;G and CA100'!$E$5:$N$193, MATCH($A132, 'NZS O&amp;G and CA100'!$B$5:$B$193, 0),MATCH(AI$4, 'NZS O&amp;G and CA100'!$E$3:$N$3, 0)),"")</f>
        <v/>
      </c>
      <c r="AK132" s="49"/>
      <c r="AL132" s="49"/>
      <c r="AM132" s="49"/>
      <c r="AN132" s="49"/>
      <c r="AO132" s="49"/>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0"/>
      <c r="CA132" s="50"/>
      <c r="CB132" s="50"/>
      <c r="CC132" s="50"/>
      <c r="CD132" s="50"/>
      <c r="CE132" s="50"/>
      <c r="CF132" s="50"/>
      <c r="CG132" s="50"/>
      <c r="CH132" s="50"/>
      <c r="CI132" s="50"/>
      <c r="CJ132" s="50"/>
      <c r="CK132" s="50"/>
      <c r="CL132" s="50"/>
      <c r="CM132" s="50"/>
      <c r="CN132" s="50"/>
      <c r="CO132" s="50"/>
      <c r="CP132" s="50"/>
      <c r="CQ132" s="50"/>
      <c r="CR132" s="50"/>
      <c r="CS132" s="50"/>
      <c r="CT132" s="50"/>
      <c r="CU132" s="50"/>
      <c r="CV132" s="50"/>
      <c r="CW132" s="50"/>
      <c r="CX132" s="50"/>
      <c r="CY132" s="50"/>
      <c r="CZ132" s="50"/>
      <c r="DA132" s="50"/>
      <c r="DB132" s="50"/>
      <c r="DC132" s="50"/>
      <c r="DD132" s="50"/>
    </row>
    <row r="133" spans="1:108" s="1" customFormat="1" ht="20.149999999999999" customHeight="1" outlineLevel="2">
      <c r="A133" s="302" t="s">
        <v>369</v>
      </c>
      <c r="B133" s="235" t="s">
        <v>184</v>
      </c>
      <c r="C133" s="236" t="str">
        <f>VLOOKUP(A133, 'NZS O&amp;G and CA100'!$B$7:$D$194, 3, FALSE)</f>
        <v>Climate Solutions</v>
      </c>
      <c r="D133" s="310" t="str">
        <f>IF(INDEX('NZS O&amp;G and CA100'!$D$5:$D$193, MATCH($A133, 'NZS O&amp;G and CA100'!$B$5:$B$193, 0)) =$B$4, INDEX('NZS O&amp;G and CA100'!$E$5:$N$193, MATCH($A133, 'NZS O&amp;G and CA100'!$B$5:$B$193, 0),MATCH(D$3, 'NZS O&amp;G and CA100'!$E$3:$N$3, 0)),"")</f>
        <v/>
      </c>
      <c r="E133" s="311" t="str">
        <f>IF(INDEX('NZS O&amp;G and CA100'!$D$5:$D$193, MATCH($A133, 'NZS O&amp;G and CA100'!$B$5:$B$193, 0)) =$B$4, INDEX('NZS O&amp;G and CA100'!$E$5:$N$193, MATCH($A133, 'NZS O&amp;G and CA100'!$B$5:$B$193, 0),MATCH(E$3, 'NZS O&amp;G and CA100'!$E$3:$N$3, 0)),"")</f>
        <v/>
      </c>
      <c r="F133" s="311" t="str">
        <f>IF(INDEX('NZS O&amp;G and CA100'!$D$5:$D$193, MATCH($A133, 'NZS O&amp;G and CA100'!$B$5:$B$193, 0)) =$B$4, INDEX('NZS O&amp;G and CA100'!$E$5:$N$193, MATCH($A133, 'NZS O&amp;G and CA100'!$B$5:$B$193, 0),MATCH(F$3, 'NZS O&amp;G and CA100'!$E$3:$N$3, 0)),"")</f>
        <v/>
      </c>
      <c r="G133" s="311" t="str">
        <f>IF(INDEX('NZS O&amp;G and CA100'!$D$5:$D$193, MATCH($A133, 'NZS O&amp;G and CA100'!$B$5:$B$193, 0)) =$B$4, INDEX('NZS O&amp;G and CA100'!$E$5:$N$193, MATCH($A133, 'NZS O&amp;G and CA100'!$B$5:$B$193, 0),MATCH(G$3, 'NZS O&amp;G and CA100'!$E$3:$N$3, 0)),"")</f>
        <v/>
      </c>
      <c r="H133" s="311" t="str">
        <f>IF(INDEX('NZS O&amp;G and CA100'!$D$5:$D$193, MATCH($A133, 'NZS O&amp;G and CA100'!$B$5:$B$193, 0)) =$B$4, INDEX('NZS O&amp;G and CA100'!$E$5:$N$193, MATCH($A133, 'NZS O&amp;G and CA100'!$B$5:$B$193, 0),MATCH(H$3, 'NZS O&amp;G and CA100'!$E$3:$N$3, 0)),"")</f>
        <v/>
      </c>
      <c r="I133" s="311" t="str">
        <f>IF(INDEX('NZS O&amp;G and CA100'!$D$5:$D$193, MATCH($A133, 'NZS O&amp;G and CA100'!$B$5:$B$193, 0)) =$B$4, INDEX('NZS O&amp;G and CA100'!$E$5:$N$193, MATCH($A133, 'NZS O&amp;G and CA100'!$B$5:$B$193, 0),MATCH(I$3, 'NZS O&amp;G and CA100'!$E$3:$N$3, 0)),"")</f>
        <v/>
      </c>
      <c r="J133" s="311" t="str">
        <f>IF(INDEX('NZS O&amp;G and CA100'!$D$5:$D$193, MATCH($A133, 'NZS O&amp;G and CA100'!$B$5:$B$193, 0)) =$B$4, INDEX('NZS O&amp;G and CA100'!$E$5:$N$193, MATCH($A133, 'NZS O&amp;G and CA100'!$B$5:$B$193, 0),MATCH(J$3, 'NZS O&amp;G and CA100'!$E$3:$N$3, 0)),"")</f>
        <v/>
      </c>
      <c r="K133" s="311" t="str">
        <f>IF(INDEX('NZS O&amp;G and CA100'!$D$5:$D$193, MATCH($A133, 'NZS O&amp;G and CA100'!$B$5:$B$193, 0)) =$B$4, INDEX('NZS O&amp;G and CA100'!$E$5:$N$193, MATCH($A133, 'NZS O&amp;G and CA100'!$B$5:$B$193, 0),MATCH(K$3, 'NZS O&amp;G and CA100'!$E$3:$N$3, 0)),"")</f>
        <v/>
      </c>
      <c r="L133" s="311" t="str">
        <f>IF(INDEX('NZS O&amp;G and CA100'!$D$5:$D$193, MATCH($A133, 'NZS O&amp;G and CA100'!$B$5:$B$193, 0)) =$B$4, INDEX('NZS O&amp;G and CA100'!$E$5:$N$193, MATCH($A133, 'NZS O&amp;G and CA100'!$B$5:$B$193, 0),MATCH(L$3, 'NZS O&amp;G and CA100'!$E$3:$N$3, 0)),"")</f>
        <v/>
      </c>
      <c r="M133" s="312" t="str">
        <f>IF(INDEX('NZS O&amp;G and CA100'!$D$5:$D$193, MATCH($A133, 'NZS O&amp;G and CA100'!$B$5:$B$193, 0)) =$B$4, INDEX('NZS O&amp;G and CA100'!$E$5:$N$193, MATCH($A133, 'NZS O&amp;G and CA100'!$B$5:$B$193, 0),MATCH(M$3, 'NZS O&amp;G and CA100'!$E$3:$N$3, 0)),"")</f>
        <v/>
      </c>
      <c r="O133" s="55" t="str">
        <f>IF(INDEX('NZS O&amp;G and CA100'!$D$5:$D$193, MATCH($A133, 'NZS O&amp;G and CA100'!$B$5:$B$193, 0)) = "Alignment", INDEX('NZS O&amp;G and CA100'!$E$5:$N$193, MATCH($A133, 'NZS O&amp;G and CA100'!$B$5:$B$193, 0),MATCH(O$4, 'NZS O&amp;G and CA100'!$E$3:$N$3, 0)),"")</f>
        <v/>
      </c>
      <c r="P133" s="56" t="str">
        <f>IF(INDEX('NZS O&amp;G and CA100'!$D$5:$D$193, MATCH($A133, 'NZS O&amp;G and CA100'!$B$5:$B$193, 0)) = "Alignment", INDEX('NZS O&amp;G and CA100'!$E$5:$N$193, MATCH($A133, 'NZS O&amp;G and CA100'!$B$5:$B$193, 0),MATCH(P$4, 'NZS O&amp;G and CA100'!$E$3:$N$3, 0)),"")</f>
        <v/>
      </c>
      <c r="Q133" s="56" t="str">
        <f>IF(INDEX('NZS O&amp;G and CA100'!$D$5:$D$193, MATCH($A133, 'NZS O&amp;G and CA100'!$B$5:$B$193, 0)) = "Alignment", INDEX('NZS O&amp;G and CA100'!$E$5:$N$193, MATCH($A133, 'NZS O&amp;G and CA100'!$B$5:$B$193, 0),MATCH(Q$4, 'NZS O&amp;G and CA100'!$E$3:$N$3, 0)),"")</f>
        <v/>
      </c>
      <c r="R133" s="56" t="str">
        <f>IF(INDEX('NZS O&amp;G and CA100'!$D$5:$D$193, MATCH($A133, 'NZS O&amp;G and CA100'!$B$5:$B$193, 0)) = "Alignment", INDEX('NZS O&amp;G and CA100'!$E$5:$N$193, MATCH($A133, 'NZS O&amp;G and CA100'!$B$5:$B$193, 0),MATCH(R$4, 'NZS O&amp;G and CA100'!$E$3:$N$3, 0)),"")</f>
        <v/>
      </c>
      <c r="S133" s="56" t="str">
        <f>IF(INDEX('NZS O&amp;G and CA100'!$D$5:$D$193, MATCH($A133, 'NZS O&amp;G and CA100'!$B$5:$B$193, 0)) = "Alignment", INDEX('NZS O&amp;G and CA100'!$E$5:$N$193, MATCH($A133, 'NZS O&amp;G and CA100'!$B$5:$B$193, 0),MATCH(S$4, 'NZS O&amp;G and CA100'!$E$3:$N$3, 0)),"")</f>
        <v/>
      </c>
      <c r="T133" s="56" t="str">
        <f>IF(INDEX('NZS O&amp;G and CA100'!$D$5:$D$193, MATCH($A133, 'NZS O&amp;G and CA100'!$B$5:$B$193, 0)) = "Alignment", INDEX('NZS O&amp;G and CA100'!$E$5:$N$193, MATCH($A133, 'NZS O&amp;G and CA100'!$B$5:$B$193, 0),MATCH(T$4, 'NZS O&amp;G and CA100'!$E$3:$N$3, 0)),"")</f>
        <v/>
      </c>
      <c r="U133" s="56" t="str">
        <f>IF(INDEX('NZS O&amp;G and CA100'!$D$5:$D$193, MATCH($A133, 'NZS O&amp;G and CA100'!$B$5:$B$193, 0)) = "Alignment", INDEX('NZS O&amp;G and CA100'!$E$5:$N$193, MATCH($A133, 'NZS O&amp;G and CA100'!$B$5:$B$193, 0),MATCH(U$4, 'NZS O&amp;G and CA100'!$E$3:$N$3, 0)),"")</f>
        <v/>
      </c>
      <c r="V133" s="56" t="str">
        <f>IF(INDEX('NZS O&amp;G and CA100'!$D$5:$D$193, MATCH($A133, 'NZS O&amp;G and CA100'!$B$5:$B$193, 0)) = "Alignment", INDEX('NZS O&amp;G and CA100'!$E$5:$N$193, MATCH($A133, 'NZS O&amp;G and CA100'!$B$5:$B$193, 0),MATCH(V$4, 'NZS O&amp;G and CA100'!$E$3:$N$3, 0)),"")</f>
        <v/>
      </c>
      <c r="W133" s="56" t="str">
        <f>IF(INDEX('NZS O&amp;G and CA100'!$D$5:$D$193, MATCH($A133, 'NZS O&amp;G and CA100'!$B$5:$B$193, 0)) = "Alignment", INDEX('NZS O&amp;G and CA100'!$E$5:$N$193, MATCH($A133, 'NZS O&amp;G and CA100'!$B$5:$B$193, 0),MATCH(L$3, 'NZS O&amp;G and CA100'!$E$3:$N$3, 0)),"")</f>
        <v/>
      </c>
      <c r="X133" s="57" t="str">
        <f>IF(INDEX('NZS O&amp;G and CA100'!$D$5:$D$193, MATCH($A133, 'NZS O&amp;G and CA100'!$B$5:$B$193, 0)) = "Alignment", INDEX('NZS O&amp;G and CA100'!$E$5:$N$193, MATCH($A133, 'NZS O&amp;G and CA100'!$B$5:$B$193, 0),MATCH(M$3, 'NZS O&amp;G and CA100'!$E$3:$N$3, 0)),"")</f>
        <v/>
      </c>
      <c r="Z133" s="55" t="str">
        <f>IF(INDEX('NZS O&amp;G and CA100'!$D$5:$D$193, MATCH($A133, 'NZS O&amp;G and CA100'!$B$5:$B$193, 0)) = "Solutions", INDEX('NZS O&amp;G and CA100'!$E$5:$N$193, MATCH($A133, 'NZS O&amp;G and CA100'!$B$5:$B$193, 0),MATCH(Z$4, 'NZS O&amp;G and CA100'!$E$3:$N$3, 0)),"")</f>
        <v/>
      </c>
      <c r="AA133" s="56" t="str">
        <f>IF(INDEX('NZS O&amp;G and CA100'!$D$5:$D$193, MATCH($A133, 'NZS O&amp;G and CA100'!$B$5:$B$193, 0)) = "Solutions", INDEX('NZS O&amp;G and CA100'!$E$5:$N$193, MATCH($A133, 'NZS O&amp;G and CA100'!$B$5:$B$193, 0),MATCH(AA$4, 'NZS O&amp;G and CA100'!$E$3:$N$3, 0)),"")</f>
        <v/>
      </c>
      <c r="AB133" s="56" t="str">
        <f>IF(INDEX('NZS O&amp;G and CA100'!$D$5:$D$193, MATCH($A133, 'NZS O&amp;G and CA100'!$B$5:$B$193, 0)) = "Solutions", INDEX('NZS O&amp;G and CA100'!$E$5:$N$193, MATCH($A133, 'NZS O&amp;G and CA100'!$B$5:$B$193, 0),MATCH(AB$4, 'NZS O&amp;G and CA100'!$E$3:$N$3, 0)),"")</f>
        <v/>
      </c>
      <c r="AC133" s="56" t="str">
        <f>IF(INDEX('NZS O&amp;G and CA100'!$D$5:$D$193, MATCH($A133, 'NZS O&amp;G and CA100'!$B$5:$B$193, 0)) = "Solutions", INDEX('NZS O&amp;G and CA100'!$E$5:$N$193, MATCH($A133, 'NZS O&amp;G and CA100'!$B$5:$B$193, 0),MATCH(AC$4, 'NZS O&amp;G and CA100'!$E$3:$N$3, 0)),"")</f>
        <v/>
      </c>
      <c r="AD133" s="56" t="str">
        <f>IF(INDEX('NZS O&amp;G and CA100'!$D$5:$D$193, MATCH($A133, 'NZS O&amp;G and CA100'!$B$5:$B$193, 0)) = "Solutions", INDEX('NZS O&amp;G and CA100'!$E$5:$N$193, MATCH($A133, 'NZS O&amp;G and CA100'!$B$5:$B$193, 0),MATCH(AD$4, 'NZS O&amp;G and CA100'!$E$3:$N$3, 0)),"")</f>
        <v/>
      </c>
      <c r="AE133" s="56" t="str">
        <f>IF(INDEX('NZS O&amp;G and CA100'!$D$5:$D$193, MATCH($A133, 'NZS O&amp;G and CA100'!$B$5:$B$193, 0)) = "Solutions", INDEX('NZS O&amp;G and CA100'!$E$5:$N$193, MATCH($A133, 'NZS O&amp;G and CA100'!$B$5:$B$193, 0),MATCH(AE$4, 'NZS O&amp;G and CA100'!$E$3:$N$3, 0)),"")</f>
        <v/>
      </c>
      <c r="AF133" s="56" t="str">
        <f>IF(INDEX('NZS O&amp;G and CA100'!$D$5:$D$193, MATCH($A133, 'NZS O&amp;G and CA100'!$B$5:$B$193, 0)) = "Solutions", INDEX('NZS O&amp;G and CA100'!$E$5:$N$193, MATCH($A133, 'NZS O&amp;G and CA100'!$B$5:$B$193, 0),MATCH(AF$4, 'NZS O&amp;G and CA100'!$E$3:$N$3, 0)),"")</f>
        <v/>
      </c>
      <c r="AG133" s="56" t="str">
        <f>IF(INDEX('NZS O&amp;G and CA100'!$D$5:$D$193, MATCH($A133, 'NZS O&amp;G and CA100'!$B$5:$B$193, 0)) = "Solutions", INDEX('NZS O&amp;G and CA100'!$E$5:$N$193, MATCH($A133, 'NZS O&amp;G and CA100'!$B$5:$B$193, 0),MATCH(AG$4, 'NZS O&amp;G and CA100'!$E$3:$N$3, 0)),"")</f>
        <v/>
      </c>
      <c r="AH133" s="56" t="str">
        <f>IF(INDEX('NZS O&amp;G and CA100'!$D$5:$D$193, MATCH($A133, 'NZS O&amp;G and CA100'!$B$5:$B$193, 0)) = "Solutions", INDEX('NZS O&amp;G and CA100'!$E$5:$N$193, MATCH($A133, 'NZS O&amp;G and CA100'!$B$5:$B$193, 0),MATCH(AH$4, 'NZS O&amp;G and CA100'!$E$3:$N$3, 0)),"")</f>
        <v/>
      </c>
      <c r="AI133" s="57" t="str">
        <f>IF(INDEX('NZS O&amp;G and CA100'!$D$5:$D$193, MATCH($A133, 'NZS O&amp;G and CA100'!$B$5:$B$193, 0)) = "Solutions", INDEX('NZS O&amp;G and CA100'!$E$5:$N$193, MATCH($A133, 'NZS O&amp;G and CA100'!$B$5:$B$193, 0),MATCH(AI$4, 'NZS O&amp;G and CA100'!$E$3:$N$3, 0)),"")</f>
        <v/>
      </c>
      <c r="AK133" s="49"/>
      <c r="AL133" s="49"/>
      <c r="AM133" s="49"/>
      <c r="AN133" s="49"/>
      <c r="AO133" s="49"/>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0"/>
      <c r="CA133" s="50"/>
      <c r="CB133" s="50"/>
      <c r="CC133" s="50"/>
      <c r="CD133" s="50"/>
      <c r="CE133" s="50"/>
      <c r="CF133" s="50"/>
      <c r="CG133" s="50"/>
      <c r="CH133" s="50"/>
      <c r="CI133" s="50"/>
      <c r="CJ133" s="50"/>
      <c r="CK133" s="50"/>
      <c r="CL133" s="50"/>
      <c r="CM133" s="50"/>
      <c r="CN133" s="50"/>
      <c r="CO133" s="50"/>
      <c r="CP133" s="50"/>
      <c r="CQ133" s="50"/>
      <c r="CR133" s="50"/>
      <c r="CS133" s="50"/>
      <c r="CT133" s="50"/>
      <c r="CU133" s="50"/>
      <c r="CV133" s="50"/>
      <c r="CW133" s="50"/>
      <c r="CX133" s="50"/>
      <c r="CY133" s="50"/>
      <c r="CZ133" s="50"/>
      <c r="DA133" s="50"/>
      <c r="DB133" s="50"/>
      <c r="DC133" s="50"/>
      <c r="DD133" s="50"/>
    </row>
    <row r="134" spans="1:108" s="1" customFormat="1" ht="20.149999999999999" customHeight="1" outlineLevel="2">
      <c r="A134" s="302" t="s">
        <v>370</v>
      </c>
      <c r="B134" s="235" t="s">
        <v>185</v>
      </c>
      <c r="C134" s="236" t="str">
        <f>VLOOKUP(A134, 'NZS O&amp;G and CA100'!$B$7:$D$194, 3, FALSE)</f>
        <v>Climate Solutions</v>
      </c>
      <c r="D134" s="310" t="str">
        <f>IF(INDEX('NZS O&amp;G and CA100'!$D$5:$D$193, MATCH($A134, 'NZS O&amp;G and CA100'!$B$5:$B$193, 0)) =$B$4, INDEX('NZS O&amp;G and CA100'!$E$5:$N$193, MATCH($A134, 'NZS O&amp;G and CA100'!$B$5:$B$193, 0),MATCH(D$3, 'NZS O&amp;G and CA100'!$E$3:$N$3, 0)),"")</f>
        <v/>
      </c>
      <c r="E134" s="311" t="str">
        <f>IF(INDEX('NZS O&amp;G and CA100'!$D$5:$D$193, MATCH($A134, 'NZS O&amp;G and CA100'!$B$5:$B$193, 0)) =$B$4, INDEX('NZS O&amp;G and CA100'!$E$5:$N$193, MATCH($A134, 'NZS O&amp;G and CA100'!$B$5:$B$193, 0),MATCH(E$3, 'NZS O&amp;G and CA100'!$E$3:$N$3, 0)),"")</f>
        <v/>
      </c>
      <c r="F134" s="311" t="str">
        <f>IF(INDEX('NZS O&amp;G and CA100'!$D$5:$D$193, MATCH($A134, 'NZS O&amp;G and CA100'!$B$5:$B$193, 0)) =$B$4, INDEX('NZS O&amp;G and CA100'!$E$5:$N$193, MATCH($A134, 'NZS O&amp;G and CA100'!$B$5:$B$193, 0),MATCH(F$3, 'NZS O&amp;G and CA100'!$E$3:$N$3, 0)),"")</f>
        <v/>
      </c>
      <c r="G134" s="311" t="str">
        <f>IF(INDEX('NZS O&amp;G and CA100'!$D$5:$D$193, MATCH($A134, 'NZS O&amp;G and CA100'!$B$5:$B$193, 0)) =$B$4, INDEX('NZS O&amp;G and CA100'!$E$5:$N$193, MATCH($A134, 'NZS O&amp;G and CA100'!$B$5:$B$193, 0),MATCH(G$3, 'NZS O&amp;G and CA100'!$E$3:$N$3, 0)),"")</f>
        <v/>
      </c>
      <c r="H134" s="311" t="str">
        <f>IF(INDEX('NZS O&amp;G and CA100'!$D$5:$D$193, MATCH($A134, 'NZS O&amp;G and CA100'!$B$5:$B$193, 0)) =$B$4, INDEX('NZS O&amp;G and CA100'!$E$5:$N$193, MATCH($A134, 'NZS O&amp;G and CA100'!$B$5:$B$193, 0),MATCH(H$3, 'NZS O&amp;G and CA100'!$E$3:$N$3, 0)),"")</f>
        <v/>
      </c>
      <c r="I134" s="311" t="str">
        <f>IF(INDEX('NZS O&amp;G and CA100'!$D$5:$D$193, MATCH($A134, 'NZS O&amp;G and CA100'!$B$5:$B$193, 0)) =$B$4, INDEX('NZS O&amp;G and CA100'!$E$5:$N$193, MATCH($A134, 'NZS O&amp;G and CA100'!$B$5:$B$193, 0),MATCH(I$3, 'NZS O&amp;G and CA100'!$E$3:$N$3, 0)),"")</f>
        <v/>
      </c>
      <c r="J134" s="311" t="str">
        <f>IF(INDEX('NZS O&amp;G and CA100'!$D$5:$D$193, MATCH($A134, 'NZS O&amp;G and CA100'!$B$5:$B$193, 0)) =$B$4, INDEX('NZS O&amp;G and CA100'!$E$5:$N$193, MATCH($A134, 'NZS O&amp;G and CA100'!$B$5:$B$193, 0),MATCH(J$3, 'NZS O&amp;G and CA100'!$E$3:$N$3, 0)),"")</f>
        <v/>
      </c>
      <c r="K134" s="311" t="str">
        <f>IF(INDEX('NZS O&amp;G and CA100'!$D$5:$D$193, MATCH($A134, 'NZS O&amp;G and CA100'!$B$5:$B$193, 0)) =$B$4, INDEX('NZS O&amp;G and CA100'!$E$5:$N$193, MATCH($A134, 'NZS O&amp;G and CA100'!$B$5:$B$193, 0),MATCH(K$3, 'NZS O&amp;G and CA100'!$E$3:$N$3, 0)),"")</f>
        <v/>
      </c>
      <c r="L134" s="311" t="str">
        <f>IF(INDEX('NZS O&amp;G and CA100'!$D$5:$D$193, MATCH($A134, 'NZS O&amp;G and CA100'!$B$5:$B$193, 0)) =$B$4, INDEX('NZS O&amp;G and CA100'!$E$5:$N$193, MATCH($A134, 'NZS O&amp;G and CA100'!$B$5:$B$193, 0),MATCH(L$3, 'NZS O&amp;G and CA100'!$E$3:$N$3, 0)),"")</f>
        <v/>
      </c>
      <c r="M134" s="312" t="str">
        <f>IF(INDEX('NZS O&amp;G and CA100'!$D$5:$D$193, MATCH($A134, 'NZS O&amp;G and CA100'!$B$5:$B$193, 0)) =$B$4, INDEX('NZS O&amp;G and CA100'!$E$5:$N$193, MATCH($A134, 'NZS O&amp;G and CA100'!$B$5:$B$193, 0),MATCH(M$3, 'NZS O&amp;G and CA100'!$E$3:$N$3, 0)),"")</f>
        <v/>
      </c>
      <c r="O134" s="55" t="str">
        <f>IF(INDEX('NZS O&amp;G and CA100'!$D$5:$D$193, MATCH($A134, 'NZS O&amp;G and CA100'!$B$5:$B$193, 0)) = "Alignment", INDEX('NZS O&amp;G and CA100'!$E$5:$N$193, MATCH($A134, 'NZS O&amp;G and CA100'!$B$5:$B$193, 0),MATCH(O$4, 'NZS O&amp;G and CA100'!$E$3:$N$3, 0)),"")</f>
        <v/>
      </c>
      <c r="P134" s="56" t="str">
        <f>IF(INDEX('NZS O&amp;G and CA100'!$D$5:$D$193, MATCH($A134, 'NZS O&amp;G and CA100'!$B$5:$B$193, 0)) = "Alignment", INDEX('NZS O&amp;G and CA100'!$E$5:$N$193, MATCH($A134, 'NZS O&amp;G and CA100'!$B$5:$B$193, 0),MATCH(P$4, 'NZS O&amp;G and CA100'!$E$3:$N$3, 0)),"")</f>
        <v/>
      </c>
      <c r="Q134" s="56" t="str">
        <f>IF(INDEX('NZS O&amp;G and CA100'!$D$5:$D$193, MATCH($A134, 'NZS O&amp;G and CA100'!$B$5:$B$193, 0)) = "Alignment", INDEX('NZS O&amp;G and CA100'!$E$5:$N$193, MATCH($A134, 'NZS O&amp;G and CA100'!$B$5:$B$193, 0),MATCH(Q$4, 'NZS O&amp;G and CA100'!$E$3:$N$3, 0)),"")</f>
        <v/>
      </c>
      <c r="R134" s="56" t="str">
        <f>IF(INDEX('NZS O&amp;G and CA100'!$D$5:$D$193, MATCH($A134, 'NZS O&amp;G and CA100'!$B$5:$B$193, 0)) = "Alignment", INDEX('NZS O&amp;G and CA100'!$E$5:$N$193, MATCH($A134, 'NZS O&amp;G and CA100'!$B$5:$B$193, 0),MATCH(R$4, 'NZS O&amp;G and CA100'!$E$3:$N$3, 0)),"")</f>
        <v/>
      </c>
      <c r="S134" s="56" t="str">
        <f>IF(INDEX('NZS O&amp;G and CA100'!$D$5:$D$193, MATCH($A134, 'NZS O&amp;G and CA100'!$B$5:$B$193, 0)) = "Alignment", INDEX('NZS O&amp;G and CA100'!$E$5:$N$193, MATCH($A134, 'NZS O&amp;G and CA100'!$B$5:$B$193, 0),MATCH(S$4, 'NZS O&amp;G and CA100'!$E$3:$N$3, 0)),"")</f>
        <v/>
      </c>
      <c r="T134" s="56" t="str">
        <f>IF(INDEX('NZS O&amp;G and CA100'!$D$5:$D$193, MATCH($A134, 'NZS O&amp;G and CA100'!$B$5:$B$193, 0)) = "Alignment", INDEX('NZS O&amp;G and CA100'!$E$5:$N$193, MATCH($A134, 'NZS O&amp;G and CA100'!$B$5:$B$193, 0),MATCH(T$4, 'NZS O&amp;G and CA100'!$E$3:$N$3, 0)),"")</f>
        <v/>
      </c>
      <c r="U134" s="56" t="str">
        <f>IF(INDEX('NZS O&amp;G and CA100'!$D$5:$D$193, MATCH($A134, 'NZS O&amp;G and CA100'!$B$5:$B$193, 0)) = "Alignment", INDEX('NZS O&amp;G and CA100'!$E$5:$N$193, MATCH($A134, 'NZS O&amp;G and CA100'!$B$5:$B$193, 0),MATCH(U$4, 'NZS O&amp;G and CA100'!$E$3:$N$3, 0)),"")</f>
        <v/>
      </c>
      <c r="V134" s="56" t="str">
        <f>IF(INDEX('NZS O&amp;G and CA100'!$D$5:$D$193, MATCH($A134, 'NZS O&amp;G and CA100'!$B$5:$B$193, 0)) = "Alignment", INDEX('NZS O&amp;G and CA100'!$E$5:$N$193, MATCH($A134, 'NZS O&amp;G and CA100'!$B$5:$B$193, 0),MATCH(V$4, 'NZS O&amp;G and CA100'!$E$3:$N$3, 0)),"")</f>
        <v/>
      </c>
      <c r="W134" s="56" t="str">
        <f>IF(INDEX('NZS O&amp;G and CA100'!$D$5:$D$193, MATCH($A134, 'NZS O&amp;G and CA100'!$B$5:$B$193, 0)) = "Alignment", INDEX('NZS O&amp;G and CA100'!$E$5:$N$193, MATCH($A134, 'NZS O&amp;G and CA100'!$B$5:$B$193, 0),MATCH(L$3, 'NZS O&amp;G and CA100'!$E$3:$N$3, 0)),"")</f>
        <v/>
      </c>
      <c r="X134" s="57" t="str">
        <f>IF(INDEX('NZS O&amp;G and CA100'!$D$5:$D$193, MATCH($A134, 'NZS O&amp;G and CA100'!$B$5:$B$193, 0)) = "Alignment", INDEX('NZS O&amp;G and CA100'!$E$5:$N$193, MATCH($A134, 'NZS O&amp;G and CA100'!$B$5:$B$193, 0),MATCH(M$3, 'NZS O&amp;G and CA100'!$E$3:$N$3, 0)),"")</f>
        <v/>
      </c>
      <c r="Z134" s="55" t="str">
        <f>IF(INDEX('NZS O&amp;G and CA100'!$D$5:$D$193, MATCH($A134, 'NZS O&amp;G and CA100'!$B$5:$B$193, 0)) = "Solutions", INDEX('NZS O&amp;G and CA100'!$E$5:$N$193, MATCH($A134, 'NZS O&amp;G and CA100'!$B$5:$B$193, 0),MATCH(Z$4, 'NZS O&amp;G and CA100'!$E$3:$N$3, 0)),"")</f>
        <v/>
      </c>
      <c r="AA134" s="56" t="str">
        <f>IF(INDEX('NZS O&amp;G and CA100'!$D$5:$D$193, MATCH($A134, 'NZS O&amp;G and CA100'!$B$5:$B$193, 0)) = "Solutions", INDEX('NZS O&amp;G and CA100'!$E$5:$N$193, MATCH($A134, 'NZS O&amp;G and CA100'!$B$5:$B$193, 0),MATCH(AA$4, 'NZS O&amp;G and CA100'!$E$3:$N$3, 0)),"")</f>
        <v/>
      </c>
      <c r="AB134" s="56" t="str">
        <f>IF(INDEX('NZS O&amp;G and CA100'!$D$5:$D$193, MATCH($A134, 'NZS O&amp;G and CA100'!$B$5:$B$193, 0)) = "Solutions", INDEX('NZS O&amp;G and CA100'!$E$5:$N$193, MATCH($A134, 'NZS O&amp;G and CA100'!$B$5:$B$193, 0),MATCH(AB$4, 'NZS O&amp;G and CA100'!$E$3:$N$3, 0)),"")</f>
        <v/>
      </c>
      <c r="AC134" s="56" t="str">
        <f>IF(INDEX('NZS O&amp;G and CA100'!$D$5:$D$193, MATCH($A134, 'NZS O&amp;G and CA100'!$B$5:$B$193, 0)) = "Solutions", INDEX('NZS O&amp;G and CA100'!$E$5:$N$193, MATCH($A134, 'NZS O&amp;G and CA100'!$B$5:$B$193, 0),MATCH(AC$4, 'NZS O&amp;G and CA100'!$E$3:$N$3, 0)),"")</f>
        <v/>
      </c>
      <c r="AD134" s="56" t="str">
        <f>IF(INDEX('NZS O&amp;G and CA100'!$D$5:$D$193, MATCH($A134, 'NZS O&amp;G and CA100'!$B$5:$B$193, 0)) = "Solutions", INDEX('NZS O&amp;G and CA100'!$E$5:$N$193, MATCH($A134, 'NZS O&amp;G and CA100'!$B$5:$B$193, 0),MATCH(AD$4, 'NZS O&amp;G and CA100'!$E$3:$N$3, 0)),"")</f>
        <v/>
      </c>
      <c r="AE134" s="56" t="str">
        <f>IF(INDEX('NZS O&amp;G and CA100'!$D$5:$D$193, MATCH($A134, 'NZS O&amp;G and CA100'!$B$5:$B$193, 0)) = "Solutions", INDEX('NZS O&amp;G and CA100'!$E$5:$N$193, MATCH($A134, 'NZS O&amp;G and CA100'!$B$5:$B$193, 0),MATCH(AE$4, 'NZS O&amp;G and CA100'!$E$3:$N$3, 0)),"")</f>
        <v/>
      </c>
      <c r="AF134" s="56" t="str">
        <f>IF(INDEX('NZS O&amp;G and CA100'!$D$5:$D$193, MATCH($A134, 'NZS O&amp;G and CA100'!$B$5:$B$193, 0)) = "Solutions", INDEX('NZS O&amp;G and CA100'!$E$5:$N$193, MATCH($A134, 'NZS O&amp;G and CA100'!$B$5:$B$193, 0),MATCH(AF$4, 'NZS O&amp;G and CA100'!$E$3:$N$3, 0)),"")</f>
        <v/>
      </c>
      <c r="AG134" s="56" t="str">
        <f>IF(INDEX('NZS O&amp;G and CA100'!$D$5:$D$193, MATCH($A134, 'NZS O&amp;G and CA100'!$B$5:$B$193, 0)) = "Solutions", INDEX('NZS O&amp;G and CA100'!$E$5:$N$193, MATCH($A134, 'NZS O&amp;G and CA100'!$B$5:$B$193, 0),MATCH(AG$4, 'NZS O&amp;G and CA100'!$E$3:$N$3, 0)),"")</f>
        <v/>
      </c>
      <c r="AH134" s="56" t="str">
        <f>IF(INDEX('NZS O&amp;G and CA100'!$D$5:$D$193, MATCH($A134, 'NZS O&amp;G and CA100'!$B$5:$B$193, 0)) = "Solutions", INDEX('NZS O&amp;G and CA100'!$E$5:$N$193, MATCH($A134, 'NZS O&amp;G and CA100'!$B$5:$B$193, 0),MATCH(AH$4, 'NZS O&amp;G and CA100'!$E$3:$N$3, 0)),"")</f>
        <v/>
      </c>
      <c r="AI134" s="57" t="str">
        <f>IF(INDEX('NZS O&amp;G and CA100'!$D$5:$D$193, MATCH($A134, 'NZS O&amp;G and CA100'!$B$5:$B$193, 0)) = "Solutions", INDEX('NZS O&amp;G and CA100'!$E$5:$N$193, MATCH($A134, 'NZS O&amp;G and CA100'!$B$5:$B$193, 0),MATCH(AI$4, 'NZS O&amp;G and CA100'!$E$3:$N$3, 0)),"")</f>
        <v/>
      </c>
      <c r="AK134" s="49"/>
      <c r="AL134" s="49"/>
      <c r="AM134" s="49"/>
      <c r="AN134" s="49"/>
      <c r="AO134" s="49"/>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row>
    <row r="135" spans="1:108" s="1" customFormat="1" ht="20.149999999999999" customHeight="1" outlineLevel="2">
      <c r="A135" s="302" t="s">
        <v>371</v>
      </c>
      <c r="B135" s="235" t="s">
        <v>186</v>
      </c>
      <c r="C135" s="236" t="str">
        <f>VLOOKUP(A135, 'NZS O&amp;G and CA100'!$B$7:$D$194, 3, FALSE)</f>
        <v>Climate Solutions</v>
      </c>
      <c r="D135" s="310" t="str">
        <f>IF(INDEX('NZS O&amp;G and CA100'!$D$5:$D$193, MATCH($A135, 'NZS O&amp;G and CA100'!$B$5:$B$193, 0)) =$B$4, INDEX('NZS O&amp;G and CA100'!$E$5:$N$193, MATCH($A135, 'NZS O&amp;G and CA100'!$B$5:$B$193, 0),MATCH(D$3, 'NZS O&amp;G and CA100'!$E$3:$N$3, 0)),"")</f>
        <v/>
      </c>
      <c r="E135" s="311" t="str">
        <f>IF(INDEX('NZS O&amp;G and CA100'!$D$5:$D$193, MATCH($A135, 'NZS O&amp;G and CA100'!$B$5:$B$193, 0)) =$B$4, INDEX('NZS O&amp;G and CA100'!$E$5:$N$193, MATCH($A135, 'NZS O&amp;G and CA100'!$B$5:$B$193, 0),MATCH(E$3, 'NZS O&amp;G and CA100'!$E$3:$N$3, 0)),"")</f>
        <v/>
      </c>
      <c r="F135" s="311" t="str">
        <f>IF(INDEX('NZS O&amp;G and CA100'!$D$5:$D$193, MATCH($A135, 'NZS O&amp;G and CA100'!$B$5:$B$193, 0)) =$B$4, INDEX('NZS O&amp;G and CA100'!$E$5:$N$193, MATCH($A135, 'NZS O&amp;G and CA100'!$B$5:$B$193, 0),MATCH(F$3, 'NZS O&amp;G and CA100'!$E$3:$N$3, 0)),"")</f>
        <v/>
      </c>
      <c r="G135" s="311" t="str">
        <f>IF(INDEX('NZS O&amp;G and CA100'!$D$5:$D$193, MATCH($A135, 'NZS O&amp;G and CA100'!$B$5:$B$193, 0)) =$B$4, INDEX('NZS O&amp;G and CA100'!$E$5:$N$193, MATCH($A135, 'NZS O&amp;G and CA100'!$B$5:$B$193, 0),MATCH(G$3, 'NZS O&amp;G and CA100'!$E$3:$N$3, 0)),"")</f>
        <v/>
      </c>
      <c r="H135" s="311" t="str">
        <f>IF(INDEX('NZS O&amp;G and CA100'!$D$5:$D$193, MATCH($A135, 'NZS O&amp;G and CA100'!$B$5:$B$193, 0)) =$B$4, INDEX('NZS O&amp;G and CA100'!$E$5:$N$193, MATCH($A135, 'NZS O&amp;G and CA100'!$B$5:$B$193, 0),MATCH(H$3, 'NZS O&amp;G and CA100'!$E$3:$N$3, 0)),"")</f>
        <v/>
      </c>
      <c r="I135" s="311" t="str">
        <f>IF(INDEX('NZS O&amp;G and CA100'!$D$5:$D$193, MATCH($A135, 'NZS O&amp;G and CA100'!$B$5:$B$193, 0)) =$B$4, INDEX('NZS O&amp;G and CA100'!$E$5:$N$193, MATCH($A135, 'NZS O&amp;G and CA100'!$B$5:$B$193, 0),MATCH(I$3, 'NZS O&amp;G and CA100'!$E$3:$N$3, 0)),"")</f>
        <v/>
      </c>
      <c r="J135" s="311" t="str">
        <f>IF(INDEX('NZS O&amp;G and CA100'!$D$5:$D$193, MATCH($A135, 'NZS O&amp;G and CA100'!$B$5:$B$193, 0)) =$B$4, INDEX('NZS O&amp;G and CA100'!$E$5:$N$193, MATCH($A135, 'NZS O&amp;G and CA100'!$B$5:$B$193, 0),MATCH(J$3, 'NZS O&amp;G and CA100'!$E$3:$N$3, 0)),"")</f>
        <v/>
      </c>
      <c r="K135" s="311" t="str">
        <f>IF(INDEX('NZS O&amp;G and CA100'!$D$5:$D$193, MATCH($A135, 'NZS O&amp;G and CA100'!$B$5:$B$193, 0)) =$B$4, INDEX('NZS O&amp;G and CA100'!$E$5:$N$193, MATCH($A135, 'NZS O&amp;G and CA100'!$B$5:$B$193, 0),MATCH(K$3, 'NZS O&amp;G and CA100'!$E$3:$N$3, 0)),"")</f>
        <v/>
      </c>
      <c r="L135" s="311" t="str">
        <f>IF(INDEX('NZS O&amp;G and CA100'!$D$5:$D$193, MATCH($A135, 'NZS O&amp;G and CA100'!$B$5:$B$193, 0)) =$B$4, INDEX('NZS O&amp;G and CA100'!$E$5:$N$193, MATCH($A135, 'NZS O&amp;G and CA100'!$B$5:$B$193, 0),MATCH(L$3, 'NZS O&amp;G and CA100'!$E$3:$N$3, 0)),"")</f>
        <v/>
      </c>
      <c r="M135" s="312" t="str">
        <f>IF(INDEX('NZS O&amp;G and CA100'!$D$5:$D$193, MATCH($A135, 'NZS O&amp;G and CA100'!$B$5:$B$193, 0)) =$B$4, INDEX('NZS O&amp;G and CA100'!$E$5:$N$193, MATCH($A135, 'NZS O&amp;G and CA100'!$B$5:$B$193, 0),MATCH(M$3, 'NZS O&amp;G and CA100'!$E$3:$N$3, 0)),"")</f>
        <v/>
      </c>
      <c r="O135" s="55" t="str">
        <f>IF(INDEX('NZS O&amp;G and CA100'!$D$5:$D$193, MATCH($A135, 'NZS O&amp;G and CA100'!$B$5:$B$193, 0)) = "Alignment", INDEX('NZS O&amp;G and CA100'!$E$5:$N$193, MATCH($A135, 'NZS O&amp;G and CA100'!$B$5:$B$193, 0),MATCH(O$4, 'NZS O&amp;G and CA100'!$E$3:$N$3, 0)),"")</f>
        <v/>
      </c>
      <c r="P135" s="56" t="str">
        <f>IF(INDEX('NZS O&amp;G and CA100'!$D$5:$D$193, MATCH($A135, 'NZS O&amp;G and CA100'!$B$5:$B$193, 0)) = "Alignment", INDEX('NZS O&amp;G and CA100'!$E$5:$N$193, MATCH($A135, 'NZS O&amp;G and CA100'!$B$5:$B$193, 0),MATCH(P$4, 'NZS O&amp;G and CA100'!$E$3:$N$3, 0)),"")</f>
        <v/>
      </c>
      <c r="Q135" s="56" t="str">
        <f>IF(INDEX('NZS O&amp;G and CA100'!$D$5:$D$193, MATCH($A135, 'NZS O&amp;G and CA100'!$B$5:$B$193, 0)) = "Alignment", INDEX('NZS O&amp;G and CA100'!$E$5:$N$193, MATCH($A135, 'NZS O&amp;G and CA100'!$B$5:$B$193, 0),MATCH(Q$4, 'NZS O&amp;G and CA100'!$E$3:$N$3, 0)),"")</f>
        <v/>
      </c>
      <c r="R135" s="56" t="str">
        <f>IF(INDEX('NZS O&amp;G and CA100'!$D$5:$D$193, MATCH($A135, 'NZS O&amp;G and CA100'!$B$5:$B$193, 0)) = "Alignment", INDEX('NZS O&amp;G and CA100'!$E$5:$N$193, MATCH($A135, 'NZS O&amp;G and CA100'!$B$5:$B$193, 0),MATCH(R$4, 'NZS O&amp;G and CA100'!$E$3:$N$3, 0)),"")</f>
        <v/>
      </c>
      <c r="S135" s="56" t="str">
        <f>IF(INDEX('NZS O&amp;G and CA100'!$D$5:$D$193, MATCH($A135, 'NZS O&amp;G and CA100'!$B$5:$B$193, 0)) = "Alignment", INDEX('NZS O&amp;G and CA100'!$E$5:$N$193, MATCH($A135, 'NZS O&amp;G and CA100'!$B$5:$B$193, 0),MATCH(S$4, 'NZS O&amp;G and CA100'!$E$3:$N$3, 0)),"")</f>
        <v/>
      </c>
      <c r="T135" s="56" t="str">
        <f>IF(INDEX('NZS O&amp;G and CA100'!$D$5:$D$193, MATCH($A135, 'NZS O&amp;G and CA100'!$B$5:$B$193, 0)) = "Alignment", INDEX('NZS O&amp;G and CA100'!$E$5:$N$193, MATCH($A135, 'NZS O&amp;G and CA100'!$B$5:$B$193, 0),MATCH(T$4, 'NZS O&amp;G and CA100'!$E$3:$N$3, 0)),"")</f>
        <v/>
      </c>
      <c r="U135" s="56" t="str">
        <f>IF(INDEX('NZS O&amp;G and CA100'!$D$5:$D$193, MATCH($A135, 'NZS O&amp;G and CA100'!$B$5:$B$193, 0)) = "Alignment", INDEX('NZS O&amp;G and CA100'!$E$5:$N$193, MATCH($A135, 'NZS O&amp;G and CA100'!$B$5:$B$193, 0),MATCH(U$4, 'NZS O&amp;G and CA100'!$E$3:$N$3, 0)),"")</f>
        <v/>
      </c>
      <c r="V135" s="56" t="str">
        <f>IF(INDEX('NZS O&amp;G and CA100'!$D$5:$D$193, MATCH($A135, 'NZS O&amp;G and CA100'!$B$5:$B$193, 0)) = "Alignment", INDEX('NZS O&amp;G and CA100'!$E$5:$N$193, MATCH($A135, 'NZS O&amp;G and CA100'!$B$5:$B$193, 0),MATCH(V$4, 'NZS O&amp;G and CA100'!$E$3:$N$3, 0)),"")</f>
        <v/>
      </c>
      <c r="W135" s="56" t="str">
        <f>IF(INDEX('NZS O&amp;G and CA100'!$D$5:$D$193, MATCH($A135, 'NZS O&amp;G and CA100'!$B$5:$B$193, 0)) = "Alignment", INDEX('NZS O&amp;G and CA100'!$E$5:$N$193, MATCH($A135, 'NZS O&amp;G and CA100'!$B$5:$B$193, 0),MATCH(L$3, 'NZS O&amp;G and CA100'!$E$3:$N$3, 0)),"")</f>
        <v/>
      </c>
      <c r="X135" s="57" t="str">
        <f>IF(INDEX('NZS O&amp;G and CA100'!$D$5:$D$193, MATCH($A135, 'NZS O&amp;G and CA100'!$B$5:$B$193, 0)) = "Alignment", INDEX('NZS O&amp;G and CA100'!$E$5:$N$193, MATCH($A135, 'NZS O&amp;G and CA100'!$B$5:$B$193, 0),MATCH(M$3, 'NZS O&amp;G and CA100'!$E$3:$N$3, 0)),"")</f>
        <v/>
      </c>
      <c r="Z135" s="55" t="str">
        <f>IF(INDEX('NZS O&amp;G and CA100'!$D$5:$D$193, MATCH($A135, 'NZS O&amp;G and CA100'!$B$5:$B$193, 0)) = "Solutions", INDEX('NZS O&amp;G and CA100'!$E$5:$N$193, MATCH($A135, 'NZS O&amp;G and CA100'!$B$5:$B$193, 0),MATCH(Z$4, 'NZS O&amp;G and CA100'!$E$3:$N$3, 0)),"")</f>
        <v/>
      </c>
      <c r="AA135" s="56" t="str">
        <f>IF(INDEX('NZS O&amp;G and CA100'!$D$5:$D$193, MATCH($A135, 'NZS O&amp;G and CA100'!$B$5:$B$193, 0)) = "Solutions", INDEX('NZS O&amp;G and CA100'!$E$5:$N$193, MATCH($A135, 'NZS O&amp;G and CA100'!$B$5:$B$193, 0),MATCH(AA$4, 'NZS O&amp;G and CA100'!$E$3:$N$3, 0)),"")</f>
        <v/>
      </c>
      <c r="AB135" s="56" t="str">
        <f>IF(INDEX('NZS O&amp;G and CA100'!$D$5:$D$193, MATCH($A135, 'NZS O&amp;G and CA100'!$B$5:$B$193, 0)) = "Solutions", INDEX('NZS O&amp;G and CA100'!$E$5:$N$193, MATCH($A135, 'NZS O&amp;G and CA100'!$B$5:$B$193, 0),MATCH(AB$4, 'NZS O&amp;G and CA100'!$E$3:$N$3, 0)),"")</f>
        <v/>
      </c>
      <c r="AC135" s="56" t="str">
        <f>IF(INDEX('NZS O&amp;G and CA100'!$D$5:$D$193, MATCH($A135, 'NZS O&amp;G and CA100'!$B$5:$B$193, 0)) = "Solutions", INDEX('NZS O&amp;G and CA100'!$E$5:$N$193, MATCH($A135, 'NZS O&amp;G and CA100'!$B$5:$B$193, 0),MATCH(AC$4, 'NZS O&amp;G and CA100'!$E$3:$N$3, 0)),"")</f>
        <v/>
      </c>
      <c r="AD135" s="56" t="str">
        <f>IF(INDEX('NZS O&amp;G and CA100'!$D$5:$D$193, MATCH($A135, 'NZS O&amp;G and CA100'!$B$5:$B$193, 0)) = "Solutions", INDEX('NZS O&amp;G and CA100'!$E$5:$N$193, MATCH($A135, 'NZS O&amp;G and CA100'!$B$5:$B$193, 0),MATCH(AD$4, 'NZS O&amp;G and CA100'!$E$3:$N$3, 0)),"")</f>
        <v/>
      </c>
      <c r="AE135" s="56" t="str">
        <f>IF(INDEX('NZS O&amp;G and CA100'!$D$5:$D$193, MATCH($A135, 'NZS O&amp;G and CA100'!$B$5:$B$193, 0)) = "Solutions", INDEX('NZS O&amp;G and CA100'!$E$5:$N$193, MATCH($A135, 'NZS O&amp;G and CA100'!$B$5:$B$193, 0),MATCH(AE$4, 'NZS O&amp;G and CA100'!$E$3:$N$3, 0)),"")</f>
        <v/>
      </c>
      <c r="AF135" s="56" t="str">
        <f>IF(INDEX('NZS O&amp;G and CA100'!$D$5:$D$193, MATCH($A135, 'NZS O&amp;G and CA100'!$B$5:$B$193, 0)) = "Solutions", INDEX('NZS O&amp;G and CA100'!$E$5:$N$193, MATCH($A135, 'NZS O&amp;G and CA100'!$B$5:$B$193, 0),MATCH(AF$4, 'NZS O&amp;G and CA100'!$E$3:$N$3, 0)),"")</f>
        <v/>
      </c>
      <c r="AG135" s="56" t="str">
        <f>IF(INDEX('NZS O&amp;G and CA100'!$D$5:$D$193, MATCH($A135, 'NZS O&amp;G and CA100'!$B$5:$B$193, 0)) = "Solutions", INDEX('NZS O&amp;G and CA100'!$E$5:$N$193, MATCH($A135, 'NZS O&amp;G and CA100'!$B$5:$B$193, 0),MATCH(AG$4, 'NZS O&amp;G and CA100'!$E$3:$N$3, 0)),"")</f>
        <v/>
      </c>
      <c r="AH135" s="56" t="str">
        <f>IF(INDEX('NZS O&amp;G and CA100'!$D$5:$D$193, MATCH($A135, 'NZS O&amp;G and CA100'!$B$5:$B$193, 0)) = "Solutions", INDEX('NZS O&amp;G and CA100'!$E$5:$N$193, MATCH($A135, 'NZS O&amp;G and CA100'!$B$5:$B$193, 0),MATCH(AH$4, 'NZS O&amp;G and CA100'!$E$3:$N$3, 0)),"")</f>
        <v/>
      </c>
      <c r="AI135" s="57" t="str">
        <f>IF(INDEX('NZS O&amp;G and CA100'!$D$5:$D$193, MATCH($A135, 'NZS O&amp;G and CA100'!$B$5:$B$193, 0)) = "Solutions", INDEX('NZS O&amp;G and CA100'!$E$5:$N$193, MATCH($A135, 'NZS O&amp;G and CA100'!$B$5:$B$193, 0),MATCH(AI$4, 'NZS O&amp;G and CA100'!$E$3:$N$3, 0)),"")</f>
        <v/>
      </c>
      <c r="AK135" s="49"/>
      <c r="AL135" s="49"/>
      <c r="AM135" s="49"/>
      <c r="AN135" s="49"/>
      <c r="AO135" s="49"/>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row>
    <row r="136" spans="1:108" s="1" customFormat="1" ht="20.149999999999999" customHeight="1" outlineLevel="2">
      <c r="A136" s="302" t="s">
        <v>372</v>
      </c>
      <c r="B136" s="235" t="s">
        <v>187</v>
      </c>
      <c r="C136" s="236" t="str">
        <f>VLOOKUP(A136, 'NZS O&amp;G and CA100'!$B$7:$D$194, 3, FALSE)</f>
        <v>Climate Solutions</v>
      </c>
      <c r="D136" s="310" t="str">
        <f>IF(INDEX('NZS O&amp;G and CA100'!$D$5:$D$193, MATCH($A136, 'NZS O&amp;G and CA100'!$B$5:$B$193, 0)) =$B$4, INDEX('NZS O&amp;G and CA100'!$E$5:$N$193, MATCH($A136, 'NZS O&amp;G and CA100'!$B$5:$B$193, 0),MATCH(D$3, 'NZS O&amp;G and CA100'!$E$3:$N$3, 0)),"")</f>
        <v/>
      </c>
      <c r="E136" s="311" t="str">
        <f>IF(INDEX('NZS O&amp;G and CA100'!$D$5:$D$193, MATCH($A136, 'NZS O&amp;G and CA100'!$B$5:$B$193, 0)) =$B$4, INDEX('NZS O&amp;G and CA100'!$E$5:$N$193, MATCH($A136, 'NZS O&amp;G and CA100'!$B$5:$B$193, 0),MATCH(E$3, 'NZS O&amp;G and CA100'!$E$3:$N$3, 0)),"")</f>
        <v/>
      </c>
      <c r="F136" s="311" t="str">
        <f>IF(INDEX('NZS O&amp;G and CA100'!$D$5:$D$193, MATCH($A136, 'NZS O&amp;G and CA100'!$B$5:$B$193, 0)) =$B$4, INDEX('NZS O&amp;G and CA100'!$E$5:$N$193, MATCH($A136, 'NZS O&amp;G and CA100'!$B$5:$B$193, 0),MATCH(F$3, 'NZS O&amp;G and CA100'!$E$3:$N$3, 0)),"")</f>
        <v/>
      </c>
      <c r="G136" s="311" t="str">
        <f>IF(INDEX('NZS O&amp;G and CA100'!$D$5:$D$193, MATCH($A136, 'NZS O&amp;G and CA100'!$B$5:$B$193, 0)) =$B$4, INDEX('NZS O&amp;G and CA100'!$E$5:$N$193, MATCH($A136, 'NZS O&amp;G and CA100'!$B$5:$B$193, 0),MATCH(G$3, 'NZS O&amp;G and CA100'!$E$3:$N$3, 0)),"")</f>
        <v/>
      </c>
      <c r="H136" s="311" t="str">
        <f>IF(INDEX('NZS O&amp;G and CA100'!$D$5:$D$193, MATCH($A136, 'NZS O&amp;G and CA100'!$B$5:$B$193, 0)) =$B$4, INDEX('NZS O&amp;G and CA100'!$E$5:$N$193, MATCH($A136, 'NZS O&amp;G and CA100'!$B$5:$B$193, 0),MATCH(H$3, 'NZS O&amp;G and CA100'!$E$3:$N$3, 0)),"")</f>
        <v/>
      </c>
      <c r="I136" s="311" t="str">
        <f>IF(INDEX('NZS O&amp;G and CA100'!$D$5:$D$193, MATCH($A136, 'NZS O&amp;G and CA100'!$B$5:$B$193, 0)) =$B$4, INDEX('NZS O&amp;G and CA100'!$E$5:$N$193, MATCH($A136, 'NZS O&amp;G and CA100'!$B$5:$B$193, 0),MATCH(I$3, 'NZS O&amp;G and CA100'!$E$3:$N$3, 0)),"")</f>
        <v/>
      </c>
      <c r="J136" s="311" t="str">
        <f>IF(INDEX('NZS O&amp;G and CA100'!$D$5:$D$193, MATCH($A136, 'NZS O&amp;G and CA100'!$B$5:$B$193, 0)) =$B$4, INDEX('NZS O&amp;G and CA100'!$E$5:$N$193, MATCH($A136, 'NZS O&amp;G and CA100'!$B$5:$B$193, 0),MATCH(J$3, 'NZS O&amp;G and CA100'!$E$3:$N$3, 0)),"")</f>
        <v/>
      </c>
      <c r="K136" s="311" t="str">
        <f>IF(INDEX('NZS O&amp;G and CA100'!$D$5:$D$193, MATCH($A136, 'NZS O&amp;G and CA100'!$B$5:$B$193, 0)) =$B$4, INDEX('NZS O&amp;G and CA100'!$E$5:$N$193, MATCH($A136, 'NZS O&amp;G and CA100'!$B$5:$B$193, 0),MATCH(K$3, 'NZS O&amp;G and CA100'!$E$3:$N$3, 0)),"")</f>
        <v/>
      </c>
      <c r="L136" s="311" t="str">
        <f>IF(INDEX('NZS O&amp;G and CA100'!$D$5:$D$193, MATCH($A136, 'NZS O&amp;G and CA100'!$B$5:$B$193, 0)) =$B$4, INDEX('NZS O&amp;G and CA100'!$E$5:$N$193, MATCH($A136, 'NZS O&amp;G and CA100'!$B$5:$B$193, 0),MATCH(L$3, 'NZS O&amp;G and CA100'!$E$3:$N$3, 0)),"")</f>
        <v/>
      </c>
      <c r="M136" s="312" t="str">
        <f>IF(INDEX('NZS O&amp;G and CA100'!$D$5:$D$193, MATCH($A136, 'NZS O&amp;G and CA100'!$B$5:$B$193, 0)) =$B$4, INDEX('NZS O&amp;G and CA100'!$E$5:$N$193, MATCH($A136, 'NZS O&amp;G and CA100'!$B$5:$B$193, 0),MATCH(M$3, 'NZS O&amp;G and CA100'!$E$3:$N$3, 0)),"")</f>
        <v/>
      </c>
      <c r="O136" s="55" t="str">
        <f>IF(INDEX('NZS O&amp;G and CA100'!$D$5:$D$193, MATCH($A136, 'NZS O&amp;G and CA100'!$B$5:$B$193, 0)) = "Alignment", INDEX('NZS O&amp;G and CA100'!$E$5:$N$193, MATCH($A136, 'NZS O&amp;G and CA100'!$B$5:$B$193, 0),MATCH(O$4, 'NZS O&amp;G and CA100'!$E$3:$N$3, 0)),"")</f>
        <v/>
      </c>
      <c r="P136" s="56" t="str">
        <f>IF(INDEX('NZS O&amp;G and CA100'!$D$5:$D$193, MATCH($A136, 'NZS O&amp;G and CA100'!$B$5:$B$193, 0)) = "Alignment", INDEX('NZS O&amp;G and CA100'!$E$5:$N$193, MATCH($A136, 'NZS O&amp;G and CA100'!$B$5:$B$193, 0),MATCH(P$4, 'NZS O&amp;G and CA100'!$E$3:$N$3, 0)),"")</f>
        <v/>
      </c>
      <c r="Q136" s="56" t="str">
        <f>IF(INDEX('NZS O&amp;G and CA100'!$D$5:$D$193, MATCH($A136, 'NZS O&amp;G and CA100'!$B$5:$B$193, 0)) = "Alignment", INDEX('NZS O&amp;G and CA100'!$E$5:$N$193, MATCH($A136, 'NZS O&amp;G and CA100'!$B$5:$B$193, 0),MATCH(Q$4, 'NZS O&amp;G and CA100'!$E$3:$N$3, 0)),"")</f>
        <v/>
      </c>
      <c r="R136" s="56" t="str">
        <f>IF(INDEX('NZS O&amp;G and CA100'!$D$5:$D$193, MATCH($A136, 'NZS O&amp;G and CA100'!$B$5:$B$193, 0)) = "Alignment", INDEX('NZS O&amp;G and CA100'!$E$5:$N$193, MATCH($A136, 'NZS O&amp;G and CA100'!$B$5:$B$193, 0),MATCH(R$4, 'NZS O&amp;G and CA100'!$E$3:$N$3, 0)),"")</f>
        <v/>
      </c>
      <c r="S136" s="56" t="str">
        <f>IF(INDEX('NZS O&amp;G and CA100'!$D$5:$D$193, MATCH($A136, 'NZS O&amp;G and CA100'!$B$5:$B$193, 0)) = "Alignment", INDEX('NZS O&amp;G and CA100'!$E$5:$N$193, MATCH($A136, 'NZS O&amp;G and CA100'!$B$5:$B$193, 0),MATCH(S$4, 'NZS O&amp;G and CA100'!$E$3:$N$3, 0)),"")</f>
        <v/>
      </c>
      <c r="T136" s="56" t="str">
        <f>IF(INDEX('NZS O&amp;G and CA100'!$D$5:$D$193, MATCH($A136, 'NZS O&amp;G and CA100'!$B$5:$B$193, 0)) = "Alignment", INDEX('NZS O&amp;G and CA100'!$E$5:$N$193, MATCH($A136, 'NZS O&amp;G and CA100'!$B$5:$B$193, 0),MATCH(T$4, 'NZS O&amp;G and CA100'!$E$3:$N$3, 0)),"")</f>
        <v/>
      </c>
      <c r="U136" s="56" t="str">
        <f>IF(INDEX('NZS O&amp;G and CA100'!$D$5:$D$193, MATCH($A136, 'NZS O&amp;G and CA100'!$B$5:$B$193, 0)) = "Alignment", INDEX('NZS O&amp;G and CA100'!$E$5:$N$193, MATCH($A136, 'NZS O&amp;G and CA100'!$B$5:$B$193, 0),MATCH(U$4, 'NZS O&amp;G and CA100'!$E$3:$N$3, 0)),"")</f>
        <v/>
      </c>
      <c r="V136" s="56" t="str">
        <f>IF(INDEX('NZS O&amp;G and CA100'!$D$5:$D$193, MATCH($A136, 'NZS O&amp;G and CA100'!$B$5:$B$193, 0)) = "Alignment", INDEX('NZS O&amp;G and CA100'!$E$5:$N$193, MATCH($A136, 'NZS O&amp;G and CA100'!$B$5:$B$193, 0),MATCH(V$4, 'NZS O&amp;G and CA100'!$E$3:$N$3, 0)),"")</f>
        <v/>
      </c>
      <c r="W136" s="56" t="str">
        <f>IF(INDEX('NZS O&amp;G and CA100'!$D$5:$D$193, MATCH($A136, 'NZS O&amp;G and CA100'!$B$5:$B$193, 0)) = "Alignment", INDEX('NZS O&amp;G and CA100'!$E$5:$N$193, MATCH($A136, 'NZS O&amp;G and CA100'!$B$5:$B$193, 0),MATCH(L$3, 'NZS O&amp;G and CA100'!$E$3:$N$3, 0)),"")</f>
        <v/>
      </c>
      <c r="X136" s="57" t="str">
        <f>IF(INDEX('NZS O&amp;G and CA100'!$D$5:$D$193, MATCH($A136, 'NZS O&amp;G and CA100'!$B$5:$B$193, 0)) = "Alignment", INDEX('NZS O&amp;G and CA100'!$E$5:$N$193, MATCH($A136, 'NZS O&amp;G and CA100'!$B$5:$B$193, 0),MATCH(M$3, 'NZS O&amp;G and CA100'!$E$3:$N$3, 0)),"")</f>
        <v/>
      </c>
      <c r="Z136" s="55" t="str">
        <f>IF(INDEX('NZS O&amp;G and CA100'!$D$5:$D$193, MATCH($A136, 'NZS O&amp;G and CA100'!$B$5:$B$193, 0)) = "Solutions", INDEX('NZS O&amp;G and CA100'!$E$5:$N$193, MATCH($A136, 'NZS O&amp;G and CA100'!$B$5:$B$193, 0),MATCH(Z$4, 'NZS O&amp;G and CA100'!$E$3:$N$3, 0)),"")</f>
        <v/>
      </c>
      <c r="AA136" s="56" t="str">
        <f>IF(INDEX('NZS O&amp;G and CA100'!$D$5:$D$193, MATCH($A136, 'NZS O&amp;G and CA100'!$B$5:$B$193, 0)) = "Solutions", INDEX('NZS O&amp;G and CA100'!$E$5:$N$193, MATCH($A136, 'NZS O&amp;G and CA100'!$B$5:$B$193, 0),MATCH(AA$4, 'NZS O&amp;G and CA100'!$E$3:$N$3, 0)),"")</f>
        <v/>
      </c>
      <c r="AB136" s="56" t="str">
        <f>IF(INDEX('NZS O&amp;G and CA100'!$D$5:$D$193, MATCH($A136, 'NZS O&amp;G and CA100'!$B$5:$B$193, 0)) = "Solutions", INDEX('NZS O&amp;G and CA100'!$E$5:$N$193, MATCH($A136, 'NZS O&amp;G and CA100'!$B$5:$B$193, 0),MATCH(AB$4, 'NZS O&amp;G and CA100'!$E$3:$N$3, 0)),"")</f>
        <v/>
      </c>
      <c r="AC136" s="56" t="str">
        <f>IF(INDEX('NZS O&amp;G and CA100'!$D$5:$D$193, MATCH($A136, 'NZS O&amp;G and CA100'!$B$5:$B$193, 0)) = "Solutions", INDEX('NZS O&amp;G and CA100'!$E$5:$N$193, MATCH($A136, 'NZS O&amp;G and CA100'!$B$5:$B$193, 0),MATCH(AC$4, 'NZS O&amp;G and CA100'!$E$3:$N$3, 0)),"")</f>
        <v/>
      </c>
      <c r="AD136" s="56" t="str">
        <f>IF(INDEX('NZS O&amp;G and CA100'!$D$5:$D$193, MATCH($A136, 'NZS O&amp;G and CA100'!$B$5:$B$193, 0)) = "Solutions", INDEX('NZS O&amp;G and CA100'!$E$5:$N$193, MATCH($A136, 'NZS O&amp;G and CA100'!$B$5:$B$193, 0),MATCH(AD$4, 'NZS O&amp;G and CA100'!$E$3:$N$3, 0)),"")</f>
        <v/>
      </c>
      <c r="AE136" s="56" t="str">
        <f>IF(INDEX('NZS O&amp;G and CA100'!$D$5:$D$193, MATCH($A136, 'NZS O&amp;G and CA100'!$B$5:$B$193, 0)) = "Solutions", INDEX('NZS O&amp;G and CA100'!$E$5:$N$193, MATCH($A136, 'NZS O&amp;G and CA100'!$B$5:$B$193, 0),MATCH(AE$4, 'NZS O&amp;G and CA100'!$E$3:$N$3, 0)),"")</f>
        <v/>
      </c>
      <c r="AF136" s="56" t="str">
        <f>IF(INDEX('NZS O&amp;G and CA100'!$D$5:$D$193, MATCH($A136, 'NZS O&amp;G and CA100'!$B$5:$B$193, 0)) = "Solutions", INDEX('NZS O&amp;G and CA100'!$E$5:$N$193, MATCH($A136, 'NZS O&amp;G and CA100'!$B$5:$B$193, 0),MATCH(AF$4, 'NZS O&amp;G and CA100'!$E$3:$N$3, 0)),"")</f>
        <v/>
      </c>
      <c r="AG136" s="56" t="str">
        <f>IF(INDEX('NZS O&amp;G and CA100'!$D$5:$D$193, MATCH($A136, 'NZS O&amp;G and CA100'!$B$5:$B$193, 0)) = "Solutions", INDEX('NZS O&amp;G and CA100'!$E$5:$N$193, MATCH($A136, 'NZS O&amp;G and CA100'!$B$5:$B$193, 0),MATCH(AG$4, 'NZS O&amp;G and CA100'!$E$3:$N$3, 0)),"")</f>
        <v/>
      </c>
      <c r="AH136" s="56" t="str">
        <f>IF(INDEX('NZS O&amp;G and CA100'!$D$5:$D$193, MATCH($A136, 'NZS O&amp;G and CA100'!$B$5:$B$193, 0)) = "Solutions", INDEX('NZS O&amp;G and CA100'!$E$5:$N$193, MATCH($A136, 'NZS O&amp;G and CA100'!$B$5:$B$193, 0),MATCH(AH$4, 'NZS O&amp;G and CA100'!$E$3:$N$3, 0)),"")</f>
        <v/>
      </c>
      <c r="AI136" s="57" t="str">
        <f>IF(INDEX('NZS O&amp;G and CA100'!$D$5:$D$193, MATCH($A136, 'NZS O&amp;G and CA100'!$B$5:$B$193, 0)) = "Solutions", INDEX('NZS O&amp;G and CA100'!$E$5:$N$193, MATCH($A136, 'NZS O&amp;G and CA100'!$B$5:$B$193, 0),MATCH(AI$4, 'NZS O&amp;G and CA100'!$E$3:$N$3, 0)),"")</f>
        <v/>
      </c>
      <c r="AK136" s="49"/>
      <c r="AL136" s="49"/>
      <c r="AM136" s="49"/>
      <c r="AN136" s="49"/>
      <c r="AO136" s="49"/>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row>
    <row r="137" spans="1:108" s="1" customFormat="1" ht="20.149999999999999" customHeight="1" outlineLevel="1">
      <c r="A137" s="302" t="s">
        <v>188</v>
      </c>
      <c r="B137" s="241" t="s">
        <v>189</v>
      </c>
      <c r="C137" s="65" t="str">
        <f>VLOOKUP(A137, 'NZS O&amp;G and CA100'!$B$7:$D$194, 3, FALSE)</f>
        <v> </v>
      </c>
      <c r="D137" s="310">
        <f>IF($B$4="Disclosure",(SUM(D138:D139)/COUNT(D138:D139)),"")</f>
        <v>0</v>
      </c>
      <c r="E137" s="311">
        <f t="shared" ref="E137:M137" si="34">IF($B$4="Disclosure",(SUM(E138:E139)/COUNT(E138:E139)),"")</f>
        <v>0</v>
      </c>
      <c r="F137" s="311">
        <f t="shared" si="34"/>
        <v>0</v>
      </c>
      <c r="G137" s="311">
        <f t="shared" si="34"/>
        <v>0</v>
      </c>
      <c r="H137" s="311">
        <f t="shared" si="34"/>
        <v>0</v>
      </c>
      <c r="I137" s="311">
        <f t="shared" si="34"/>
        <v>0</v>
      </c>
      <c r="J137" s="311">
        <f t="shared" si="34"/>
        <v>0</v>
      </c>
      <c r="K137" s="311">
        <f t="shared" si="34"/>
        <v>0</v>
      </c>
      <c r="L137" s="311">
        <f t="shared" si="34"/>
        <v>0</v>
      </c>
      <c r="M137" s="312">
        <f t="shared" si="34"/>
        <v>0.5</v>
      </c>
      <c r="O137" s="55" t="str">
        <f>IF(INDEX('NZS O&amp;G and CA100'!$D$5:$D$193, MATCH($A137, 'NZS O&amp;G and CA100'!$B$5:$B$193, 0)) = "Alignment", INDEX('NZS O&amp;G and CA100'!$E$5:$N$193, MATCH($A137, 'NZS O&amp;G and CA100'!$B$5:$B$193, 0),MATCH(O$4, 'NZS O&amp;G and CA100'!$E$3:$N$3, 0)),"")</f>
        <v/>
      </c>
      <c r="P137" s="56" t="str">
        <f>IF(INDEX('NZS O&amp;G and CA100'!$D$5:$D$193, MATCH($A137, 'NZS O&amp;G and CA100'!$B$5:$B$193, 0)) = "Alignment", INDEX('NZS O&amp;G and CA100'!$E$5:$N$193, MATCH($A137, 'NZS O&amp;G and CA100'!$B$5:$B$193, 0),MATCH(P$4, 'NZS O&amp;G and CA100'!$E$3:$N$3, 0)),"")</f>
        <v/>
      </c>
      <c r="Q137" s="56" t="str">
        <f>IF(INDEX('NZS O&amp;G and CA100'!$D$5:$D$193, MATCH($A137, 'NZS O&amp;G and CA100'!$B$5:$B$193, 0)) = "Alignment", INDEX('NZS O&amp;G and CA100'!$E$5:$N$193, MATCH($A137, 'NZS O&amp;G and CA100'!$B$5:$B$193, 0),MATCH(Q$4, 'NZS O&amp;G and CA100'!$E$3:$N$3, 0)),"")</f>
        <v/>
      </c>
      <c r="R137" s="56" t="str">
        <f>IF(INDEX('NZS O&amp;G and CA100'!$D$5:$D$193, MATCH($A137, 'NZS O&amp;G and CA100'!$B$5:$B$193, 0)) = "Alignment", INDEX('NZS O&amp;G and CA100'!$E$5:$N$193, MATCH($A137, 'NZS O&amp;G and CA100'!$B$5:$B$193, 0),MATCH(R$4, 'NZS O&amp;G and CA100'!$E$3:$N$3, 0)),"")</f>
        <v/>
      </c>
      <c r="S137" s="56" t="str">
        <f>IF(INDEX('NZS O&amp;G and CA100'!$D$5:$D$193, MATCH($A137, 'NZS O&amp;G and CA100'!$B$5:$B$193, 0)) = "Alignment", INDEX('NZS O&amp;G and CA100'!$E$5:$N$193, MATCH($A137, 'NZS O&amp;G and CA100'!$B$5:$B$193, 0),MATCH(S$4, 'NZS O&amp;G and CA100'!$E$3:$N$3, 0)),"")</f>
        <v/>
      </c>
      <c r="T137" s="56" t="str">
        <f>IF(INDEX('NZS O&amp;G and CA100'!$D$5:$D$193, MATCH($A137, 'NZS O&amp;G and CA100'!$B$5:$B$193, 0)) = "Alignment", INDEX('NZS O&amp;G and CA100'!$E$5:$N$193, MATCH($A137, 'NZS O&amp;G and CA100'!$B$5:$B$193, 0),MATCH(T$4, 'NZS O&amp;G and CA100'!$E$3:$N$3, 0)),"")</f>
        <v/>
      </c>
      <c r="U137" s="56" t="str">
        <f>IF(INDEX('NZS O&amp;G and CA100'!$D$5:$D$193, MATCH($A137, 'NZS O&amp;G and CA100'!$B$5:$B$193, 0)) = "Alignment", INDEX('NZS O&amp;G and CA100'!$E$5:$N$193, MATCH($A137, 'NZS O&amp;G and CA100'!$B$5:$B$193, 0),MATCH(U$4, 'NZS O&amp;G and CA100'!$E$3:$N$3, 0)),"")</f>
        <v/>
      </c>
      <c r="V137" s="56" t="str">
        <f>IF(INDEX('NZS O&amp;G and CA100'!$D$5:$D$193, MATCH($A137, 'NZS O&amp;G and CA100'!$B$5:$B$193, 0)) = "Alignment", INDEX('NZS O&amp;G and CA100'!$E$5:$N$193, MATCH($A137, 'NZS O&amp;G and CA100'!$B$5:$B$193, 0),MATCH(V$4, 'NZS O&amp;G and CA100'!$E$3:$N$3, 0)),"")</f>
        <v/>
      </c>
      <c r="W137" s="56" t="str">
        <f>IF(INDEX('NZS O&amp;G and CA100'!$D$5:$D$193, MATCH($A137, 'NZS O&amp;G and CA100'!$B$5:$B$193, 0)) = "Alignment", INDEX('NZS O&amp;G and CA100'!$E$5:$N$193, MATCH($A137, 'NZS O&amp;G and CA100'!$B$5:$B$193, 0),MATCH(L$3, 'NZS O&amp;G and CA100'!$E$3:$N$3, 0)),"")</f>
        <v/>
      </c>
      <c r="X137" s="57" t="str">
        <f>IF(INDEX('NZS O&amp;G and CA100'!$D$5:$D$193, MATCH($A137, 'NZS O&amp;G and CA100'!$B$5:$B$193, 0)) = "Alignment", INDEX('NZS O&amp;G and CA100'!$E$5:$N$193, MATCH($A137, 'NZS O&amp;G and CA100'!$B$5:$B$193, 0),MATCH(M$3, 'NZS O&amp;G and CA100'!$E$3:$N$3, 0)),"")</f>
        <v/>
      </c>
      <c r="Z137" s="55"/>
      <c r="AA137" s="56"/>
      <c r="AB137" s="56"/>
      <c r="AC137" s="56"/>
      <c r="AD137" s="56"/>
      <c r="AE137" s="56"/>
      <c r="AF137" s="56"/>
      <c r="AG137" s="56"/>
      <c r="AH137" s="56"/>
      <c r="AI137" s="57"/>
      <c r="AK137" s="49"/>
      <c r="AL137" s="49"/>
      <c r="AM137" s="49"/>
      <c r="AN137" s="49"/>
      <c r="AO137" s="49"/>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50"/>
      <c r="CL137" s="50"/>
      <c r="CM137" s="50"/>
      <c r="CN137" s="50"/>
      <c r="CO137" s="50"/>
      <c r="CP137" s="50"/>
      <c r="CQ137" s="50"/>
      <c r="CR137" s="50"/>
      <c r="CS137" s="50"/>
      <c r="CT137" s="50"/>
      <c r="CU137" s="50"/>
      <c r="CV137" s="50"/>
      <c r="CW137" s="50"/>
      <c r="CX137" s="50"/>
      <c r="CY137" s="50"/>
      <c r="CZ137" s="50"/>
      <c r="DA137" s="50"/>
      <c r="DB137" s="50"/>
      <c r="DC137" s="50"/>
      <c r="DD137" s="50"/>
    </row>
    <row r="138" spans="1:108" s="1" customFormat="1" ht="20.149999999999999" customHeight="1" outlineLevel="2">
      <c r="A138" s="302" t="s">
        <v>373</v>
      </c>
      <c r="B138" s="235" t="s">
        <v>374</v>
      </c>
      <c r="C138" s="236" t="str">
        <f>VLOOKUP(A138, 'NZS O&amp;G and CA100'!$B$7:$D$194, 3, FALSE)</f>
        <v>Disclosure</v>
      </c>
      <c r="D138" s="310">
        <f>IF(INDEX('NZS O&amp;G and CA100'!$D$5:$D$193, MATCH($A138, 'NZS O&amp;G and CA100'!$B$5:$B$193, 0)) =$B$4, INDEX('NZS O&amp;G and CA100'!$E$5:$N$193, MATCH($A138, 'NZS O&amp;G and CA100'!$B$5:$B$193, 0),MATCH(D$3, 'NZS O&amp;G and CA100'!$E$3:$N$3, 0)),"")</f>
        <v>0</v>
      </c>
      <c r="E138" s="311">
        <f>IF(INDEX('NZS O&amp;G and CA100'!$D$5:$D$193, MATCH($A138, 'NZS O&amp;G and CA100'!$B$5:$B$193, 0)) =$B$4, INDEX('NZS O&amp;G and CA100'!$E$5:$N$193, MATCH($A138, 'NZS O&amp;G and CA100'!$B$5:$B$193, 0),MATCH(E$3, 'NZS O&amp;G and CA100'!$E$3:$N$3, 0)),"")</f>
        <v>0</v>
      </c>
      <c r="F138" s="311">
        <f>IF(INDEX('NZS O&amp;G and CA100'!$D$5:$D$193, MATCH($A138, 'NZS O&amp;G and CA100'!$B$5:$B$193, 0)) =$B$4, INDEX('NZS O&amp;G and CA100'!$E$5:$N$193, MATCH($A138, 'NZS O&amp;G and CA100'!$B$5:$B$193, 0),MATCH(F$3, 'NZS O&amp;G and CA100'!$E$3:$N$3, 0)),"")</f>
        <v>0</v>
      </c>
      <c r="G138" s="311">
        <f>IF(INDEX('NZS O&amp;G and CA100'!$D$5:$D$193, MATCH($A138, 'NZS O&amp;G and CA100'!$B$5:$B$193, 0)) =$B$4, INDEX('NZS O&amp;G and CA100'!$E$5:$N$193, MATCH($A138, 'NZS O&amp;G and CA100'!$B$5:$B$193, 0),MATCH(G$3, 'NZS O&amp;G and CA100'!$E$3:$N$3, 0)),"")</f>
        <v>0</v>
      </c>
      <c r="H138" s="311">
        <f>IF(INDEX('NZS O&amp;G and CA100'!$D$5:$D$193, MATCH($A138, 'NZS O&amp;G and CA100'!$B$5:$B$193, 0)) =$B$4, INDEX('NZS O&amp;G and CA100'!$E$5:$N$193, MATCH($A138, 'NZS O&amp;G and CA100'!$B$5:$B$193, 0),MATCH(H$3, 'NZS O&amp;G and CA100'!$E$3:$N$3, 0)),"")</f>
        <v>0</v>
      </c>
      <c r="I138" s="311">
        <f>IF(INDEX('NZS O&amp;G and CA100'!$D$5:$D$193, MATCH($A138, 'NZS O&amp;G and CA100'!$B$5:$B$193, 0)) =$B$4, INDEX('NZS O&amp;G and CA100'!$E$5:$N$193, MATCH($A138, 'NZS O&amp;G and CA100'!$B$5:$B$193, 0),MATCH(I$3, 'NZS O&amp;G and CA100'!$E$3:$N$3, 0)),"")</f>
        <v>0</v>
      </c>
      <c r="J138" s="311">
        <f>IF(INDEX('NZS O&amp;G and CA100'!$D$5:$D$193, MATCH($A138, 'NZS O&amp;G and CA100'!$B$5:$B$193, 0)) =$B$4, INDEX('NZS O&amp;G and CA100'!$E$5:$N$193, MATCH($A138, 'NZS O&amp;G and CA100'!$B$5:$B$193, 0),MATCH(J$3, 'NZS O&amp;G and CA100'!$E$3:$N$3, 0)),"")</f>
        <v>0</v>
      </c>
      <c r="K138" s="311">
        <f>IF(INDEX('NZS O&amp;G and CA100'!$D$5:$D$193, MATCH($A138, 'NZS O&amp;G and CA100'!$B$5:$B$193, 0)) =$B$4, INDEX('NZS O&amp;G and CA100'!$E$5:$N$193, MATCH($A138, 'NZS O&amp;G and CA100'!$B$5:$B$193, 0),MATCH(K$3, 'NZS O&amp;G and CA100'!$E$3:$N$3, 0)),"")</f>
        <v>0</v>
      </c>
      <c r="L138" s="311">
        <f>IF(INDEX('NZS O&amp;G and CA100'!$D$5:$D$193, MATCH($A138, 'NZS O&amp;G and CA100'!$B$5:$B$193, 0)) =$B$4, INDEX('NZS O&amp;G and CA100'!$E$5:$N$193, MATCH($A138, 'NZS O&amp;G and CA100'!$B$5:$B$193, 0),MATCH(L$3, 'NZS O&amp;G and CA100'!$E$3:$N$3, 0)),"")</f>
        <v>0</v>
      </c>
      <c r="M138" s="312">
        <f>IF(INDEX('NZS O&amp;G and CA100'!$D$5:$D$193, MATCH($A138, 'NZS O&amp;G and CA100'!$B$5:$B$193, 0)) =$B$4, INDEX('NZS O&amp;G and CA100'!$E$5:$N$193, MATCH($A138, 'NZS O&amp;G and CA100'!$B$5:$B$193, 0),MATCH(M$3, 'NZS O&amp;G and CA100'!$E$3:$N$3, 0)),"")</f>
        <v>0</v>
      </c>
      <c r="O138" s="55" t="str">
        <f>IF(INDEX('NZS O&amp;G and CA100'!$D$5:$D$193, MATCH($A138, 'NZS O&amp;G and CA100'!$B$5:$B$193, 0)) = "Alignment", INDEX('NZS O&amp;G and CA100'!$E$5:$N$193, MATCH($A138, 'NZS O&amp;G and CA100'!$B$5:$B$193, 0),MATCH(O$4, 'NZS O&amp;G and CA100'!$E$3:$N$3, 0)),"")</f>
        <v/>
      </c>
      <c r="P138" s="56" t="str">
        <f>IF(INDEX('NZS O&amp;G and CA100'!$D$5:$D$193, MATCH($A138, 'NZS O&amp;G and CA100'!$B$5:$B$193, 0)) = "Alignment", INDEX('NZS O&amp;G and CA100'!$E$5:$N$193, MATCH($A138, 'NZS O&amp;G and CA100'!$B$5:$B$193, 0),MATCH(P$4, 'NZS O&amp;G and CA100'!$E$3:$N$3, 0)),"")</f>
        <v/>
      </c>
      <c r="Q138" s="56" t="str">
        <f>IF(INDEX('NZS O&amp;G and CA100'!$D$5:$D$193, MATCH($A138, 'NZS O&amp;G and CA100'!$B$5:$B$193, 0)) = "Alignment", INDEX('NZS O&amp;G and CA100'!$E$5:$N$193, MATCH($A138, 'NZS O&amp;G and CA100'!$B$5:$B$193, 0),MATCH(Q$4, 'NZS O&amp;G and CA100'!$E$3:$N$3, 0)),"")</f>
        <v/>
      </c>
      <c r="R138" s="56" t="str">
        <f>IF(INDEX('NZS O&amp;G and CA100'!$D$5:$D$193, MATCH($A138, 'NZS O&amp;G and CA100'!$B$5:$B$193, 0)) = "Alignment", INDEX('NZS O&amp;G and CA100'!$E$5:$N$193, MATCH($A138, 'NZS O&amp;G and CA100'!$B$5:$B$193, 0),MATCH(R$4, 'NZS O&amp;G and CA100'!$E$3:$N$3, 0)),"")</f>
        <v/>
      </c>
      <c r="S138" s="56" t="str">
        <f>IF(INDEX('NZS O&amp;G and CA100'!$D$5:$D$193, MATCH($A138, 'NZS O&amp;G and CA100'!$B$5:$B$193, 0)) = "Alignment", INDEX('NZS O&amp;G and CA100'!$E$5:$N$193, MATCH($A138, 'NZS O&amp;G and CA100'!$B$5:$B$193, 0),MATCH(S$4, 'NZS O&amp;G and CA100'!$E$3:$N$3, 0)),"")</f>
        <v/>
      </c>
      <c r="T138" s="56" t="str">
        <f>IF(INDEX('NZS O&amp;G and CA100'!$D$5:$D$193, MATCH($A138, 'NZS O&amp;G and CA100'!$B$5:$B$193, 0)) = "Alignment", INDEX('NZS O&amp;G and CA100'!$E$5:$N$193, MATCH($A138, 'NZS O&amp;G and CA100'!$B$5:$B$193, 0),MATCH(T$4, 'NZS O&amp;G and CA100'!$E$3:$N$3, 0)),"")</f>
        <v/>
      </c>
      <c r="U138" s="56" t="str">
        <f>IF(INDEX('NZS O&amp;G and CA100'!$D$5:$D$193, MATCH($A138, 'NZS O&amp;G and CA100'!$B$5:$B$193, 0)) = "Alignment", INDEX('NZS O&amp;G and CA100'!$E$5:$N$193, MATCH($A138, 'NZS O&amp;G and CA100'!$B$5:$B$193, 0),MATCH(U$4, 'NZS O&amp;G and CA100'!$E$3:$N$3, 0)),"")</f>
        <v/>
      </c>
      <c r="V138" s="56" t="str">
        <f>IF(INDEX('NZS O&amp;G and CA100'!$D$5:$D$193, MATCH($A138, 'NZS O&amp;G and CA100'!$B$5:$B$193, 0)) = "Alignment", INDEX('NZS O&amp;G and CA100'!$E$5:$N$193, MATCH($A138, 'NZS O&amp;G and CA100'!$B$5:$B$193, 0),MATCH(V$4, 'NZS O&amp;G and CA100'!$E$3:$N$3, 0)),"")</f>
        <v/>
      </c>
      <c r="W138" s="56" t="str">
        <f>IF(INDEX('NZS O&amp;G and CA100'!$D$5:$D$193, MATCH($A138, 'NZS O&amp;G and CA100'!$B$5:$B$193, 0)) = "Alignment", INDEX('NZS O&amp;G and CA100'!$E$5:$N$193, MATCH($A138, 'NZS O&amp;G and CA100'!$B$5:$B$193, 0),MATCH(L$3, 'NZS O&amp;G and CA100'!$E$3:$N$3, 0)),"")</f>
        <v/>
      </c>
      <c r="X138" s="57" t="str">
        <f>IF(INDEX('NZS O&amp;G and CA100'!$D$5:$D$193, MATCH($A138, 'NZS O&amp;G and CA100'!$B$5:$B$193, 0)) = "Alignment", INDEX('NZS O&amp;G and CA100'!$E$5:$N$193, MATCH($A138, 'NZS O&amp;G and CA100'!$B$5:$B$193, 0),MATCH(M$3, 'NZS O&amp;G and CA100'!$E$3:$N$3, 0)),"")</f>
        <v/>
      </c>
      <c r="Z138" s="55"/>
      <c r="AA138" s="56"/>
      <c r="AB138" s="56"/>
      <c r="AC138" s="56"/>
      <c r="AD138" s="56"/>
      <c r="AE138" s="56"/>
      <c r="AF138" s="56"/>
      <c r="AG138" s="56"/>
      <c r="AH138" s="56"/>
      <c r="AI138" s="57"/>
      <c r="AK138" s="49"/>
      <c r="AL138" s="49"/>
      <c r="AM138" s="49"/>
      <c r="AN138" s="49"/>
      <c r="AO138" s="49"/>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row>
    <row r="139" spans="1:108" s="1" customFormat="1" ht="20.149999999999999" customHeight="1" outlineLevel="2">
      <c r="A139" s="302" t="s">
        <v>375</v>
      </c>
      <c r="B139" s="235" t="s">
        <v>376</v>
      </c>
      <c r="C139" s="236" t="str">
        <f>VLOOKUP(A139, 'NZS O&amp;G and CA100'!$B$7:$D$194, 3, FALSE)</f>
        <v>Disclosure</v>
      </c>
      <c r="D139" s="310">
        <f>IF(INDEX('NZS O&amp;G and CA100'!$D$5:$D$193, MATCH($A139, 'NZS O&amp;G and CA100'!$B$5:$B$193, 0)) =$B$4, INDEX('NZS O&amp;G and CA100'!$E$5:$N$193, MATCH($A139, 'NZS O&amp;G and CA100'!$B$5:$B$193, 0),MATCH(D$3, 'NZS O&amp;G and CA100'!$E$3:$N$3, 0)),"")</f>
        <v>0</v>
      </c>
      <c r="E139" s="311">
        <f>IF(INDEX('NZS O&amp;G and CA100'!$D$5:$D$193, MATCH($A139, 'NZS O&amp;G and CA100'!$B$5:$B$193, 0)) =$B$4, INDEX('NZS O&amp;G and CA100'!$E$5:$N$193, MATCH($A139, 'NZS O&amp;G and CA100'!$B$5:$B$193, 0),MATCH(E$3, 'NZS O&amp;G and CA100'!$E$3:$N$3, 0)),"")</f>
        <v>0</v>
      </c>
      <c r="F139" s="311">
        <f>IF(INDEX('NZS O&amp;G and CA100'!$D$5:$D$193, MATCH($A139, 'NZS O&amp;G and CA100'!$B$5:$B$193, 0)) =$B$4, INDEX('NZS O&amp;G and CA100'!$E$5:$N$193, MATCH($A139, 'NZS O&amp;G and CA100'!$B$5:$B$193, 0),MATCH(F$3, 'NZS O&amp;G and CA100'!$E$3:$N$3, 0)),"")</f>
        <v>0</v>
      </c>
      <c r="G139" s="311">
        <f>IF(INDEX('NZS O&amp;G and CA100'!$D$5:$D$193, MATCH($A139, 'NZS O&amp;G and CA100'!$B$5:$B$193, 0)) =$B$4, INDEX('NZS O&amp;G and CA100'!$E$5:$N$193, MATCH($A139, 'NZS O&amp;G and CA100'!$B$5:$B$193, 0),MATCH(G$3, 'NZS O&amp;G and CA100'!$E$3:$N$3, 0)),"")</f>
        <v>0</v>
      </c>
      <c r="H139" s="311">
        <f>IF(INDEX('NZS O&amp;G and CA100'!$D$5:$D$193, MATCH($A139, 'NZS O&amp;G and CA100'!$B$5:$B$193, 0)) =$B$4, INDEX('NZS O&amp;G and CA100'!$E$5:$N$193, MATCH($A139, 'NZS O&amp;G and CA100'!$B$5:$B$193, 0),MATCH(H$3, 'NZS O&amp;G and CA100'!$E$3:$N$3, 0)),"")</f>
        <v>0</v>
      </c>
      <c r="I139" s="311">
        <f>IF(INDEX('NZS O&amp;G and CA100'!$D$5:$D$193, MATCH($A139, 'NZS O&amp;G and CA100'!$B$5:$B$193, 0)) =$B$4, INDEX('NZS O&amp;G and CA100'!$E$5:$N$193, MATCH($A139, 'NZS O&amp;G and CA100'!$B$5:$B$193, 0),MATCH(I$3, 'NZS O&amp;G and CA100'!$E$3:$N$3, 0)),"")</f>
        <v>0</v>
      </c>
      <c r="J139" s="311">
        <f>IF(INDEX('NZS O&amp;G and CA100'!$D$5:$D$193, MATCH($A139, 'NZS O&amp;G and CA100'!$B$5:$B$193, 0)) =$B$4, INDEX('NZS O&amp;G and CA100'!$E$5:$N$193, MATCH($A139, 'NZS O&amp;G and CA100'!$B$5:$B$193, 0),MATCH(J$3, 'NZS O&amp;G and CA100'!$E$3:$N$3, 0)),"")</f>
        <v>0</v>
      </c>
      <c r="K139" s="311">
        <f>IF(INDEX('NZS O&amp;G and CA100'!$D$5:$D$193, MATCH($A139, 'NZS O&amp;G and CA100'!$B$5:$B$193, 0)) =$B$4, INDEX('NZS O&amp;G and CA100'!$E$5:$N$193, MATCH($A139, 'NZS O&amp;G and CA100'!$B$5:$B$193, 0),MATCH(K$3, 'NZS O&amp;G and CA100'!$E$3:$N$3, 0)),"")</f>
        <v>0</v>
      </c>
      <c r="L139" s="311">
        <f>IF(INDEX('NZS O&amp;G and CA100'!$D$5:$D$193, MATCH($A139, 'NZS O&amp;G and CA100'!$B$5:$B$193, 0)) =$B$4, INDEX('NZS O&amp;G and CA100'!$E$5:$N$193, MATCH($A139, 'NZS O&amp;G and CA100'!$B$5:$B$193, 0),MATCH(L$3, 'NZS O&amp;G and CA100'!$E$3:$N$3, 0)),"")</f>
        <v>0</v>
      </c>
      <c r="M139" s="312">
        <f>IF(INDEX('NZS O&amp;G and CA100'!$D$5:$D$193, MATCH($A139, 'NZS O&amp;G and CA100'!$B$5:$B$193, 0)) =$B$4, INDEX('NZS O&amp;G and CA100'!$E$5:$N$193, MATCH($A139, 'NZS O&amp;G and CA100'!$B$5:$B$193, 0),MATCH(M$3, 'NZS O&amp;G and CA100'!$E$3:$N$3, 0)),"")</f>
        <v>1</v>
      </c>
      <c r="O139" s="55"/>
      <c r="P139" s="56"/>
      <c r="Q139" s="56"/>
      <c r="R139" s="56"/>
      <c r="S139" s="56"/>
      <c r="T139" s="56"/>
      <c r="U139" s="56"/>
      <c r="V139" s="56"/>
      <c r="W139" s="56"/>
      <c r="X139" s="57"/>
      <c r="Z139" s="55"/>
      <c r="AA139" s="56"/>
      <c r="AB139" s="56"/>
      <c r="AC139" s="56"/>
      <c r="AD139" s="56"/>
      <c r="AE139" s="56"/>
      <c r="AF139" s="56"/>
      <c r="AG139" s="56"/>
      <c r="AH139" s="56"/>
      <c r="AI139" s="57"/>
      <c r="AK139" s="49"/>
      <c r="AL139" s="49"/>
      <c r="AM139" s="49"/>
      <c r="AN139" s="49"/>
      <c r="AO139" s="49"/>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50"/>
      <c r="CJ139" s="50"/>
      <c r="CK139" s="50"/>
      <c r="CL139" s="50"/>
      <c r="CM139" s="50"/>
      <c r="CN139" s="50"/>
      <c r="CO139" s="50"/>
      <c r="CP139" s="50"/>
      <c r="CQ139" s="50"/>
      <c r="CR139" s="50"/>
      <c r="CS139" s="50"/>
      <c r="CT139" s="50"/>
      <c r="CU139" s="50"/>
      <c r="CV139" s="50"/>
      <c r="CW139" s="50"/>
      <c r="CX139" s="50"/>
      <c r="CY139" s="50"/>
      <c r="CZ139" s="50"/>
      <c r="DA139" s="50"/>
      <c r="DB139" s="50"/>
      <c r="DC139" s="50"/>
      <c r="DD139" s="50"/>
    </row>
    <row r="140" spans="1:108" s="1" customFormat="1" ht="6.65" customHeight="1" outlineLevel="1">
      <c r="A140" s="302"/>
      <c r="B140" s="231"/>
      <c r="C140" s="232"/>
      <c r="D140" s="55"/>
      <c r="E140" s="56"/>
      <c r="F140" s="56"/>
      <c r="G140" s="56"/>
      <c r="H140" s="56"/>
      <c r="I140" s="56"/>
      <c r="J140" s="56"/>
      <c r="K140" s="56"/>
      <c r="L140" s="56"/>
      <c r="M140" s="57"/>
      <c r="O140" s="55"/>
      <c r="P140" s="56"/>
      <c r="Q140" s="56"/>
      <c r="R140" s="56"/>
      <c r="S140" s="56"/>
      <c r="T140" s="56"/>
      <c r="U140" s="56"/>
      <c r="V140" s="56"/>
      <c r="W140" s="56"/>
      <c r="X140" s="57"/>
      <c r="Z140" s="55"/>
      <c r="AA140" s="56"/>
      <c r="AB140" s="56"/>
      <c r="AC140" s="56"/>
      <c r="AD140" s="56"/>
      <c r="AE140" s="56"/>
      <c r="AF140" s="56"/>
      <c r="AG140" s="56"/>
      <c r="AH140" s="56"/>
      <c r="AI140" s="57"/>
      <c r="AK140" s="49"/>
      <c r="AL140" s="49"/>
      <c r="AM140" s="49"/>
      <c r="AN140" s="49"/>
      <c r="AO140" s="49"/>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50"/>
      <c r="CL140" s="50"/>
      <c r="CM140" s="50"/>
      <c r="CN140" s="50"/>
      <c r="CO140" s="50"/>
      <c r="CP140" s="50"/>
      <c r="CQ140" s="50"/>
      <c r="CR140" s="50"/>
      <c r="CS140" s="50"/>
      <c r="CT140" s="50"/>
      <c r="CU140" s="50"/>
      <c r="CV140" s="50"/>
      <c r="CW140" s="50"/>
      <c r="CX140" s="50"/>
      <c r="CY140" s="50"/>
      <c r="CZ140" s="50"/>
      <c r="DA140" s="50"/>
      <c r="DB140" s="50"/>
      <c r="DC140" s="50"/>
      <c r="DD140" s="50"/>
    </row>
    <row r="141" spans="1:108" s="1" customFormat="1" ht="18.649999999999999" customHeight="1" thickBot="1">
      <c r="A141" s="302"/>
      <c r="B141" s="229" t="s">
        <v>81</v>
      </c>
      <c r="C141" s="230"/>
      <c r="D141" s="58"/>
      <c r="E141" s="59"/>
      <c r="F141" s="59"/>
      <c r="G141" s="59"/>
      <c r="H141" s="59"/>
      <c r="I141" s="59"/>
      <c r="J141" s="59"/>
      <c r="K141" s="59"/>
      <c r="L141" s="59"/>
      <c r="M141" s="60"/>
      <c r="O141" s="58"/>
      <c r="P141" s="59"/>
      <c r="Q141" s="59"/>
      <c r="R141" s="59"/>
      <c r="S141" s="59"/>
      <c r="T141" s="59"/>
      <c r="U141" s="59"/>
      <c r="V141" s="59"/>
      <c r="W141" s="59"/>
      <c r="X141" s="60"/>
      <c r="Z141" s="58"/>
      <c r="AA141" s="59"/>
      <c r="AB141" s="59"/>
      <c r="AC141" s="59"/>
      <c r="AD141" s="59"/>
      <c r="AE141" s="59"/>
      <c r="AF141" s="59"/>
      <c r="AG141" s="59"/>
      <c r="AH141" s="59"/>
      <c r="AI141" s="60"/>
      <c r="AK141" s="49"/>
      <c r="AL141" s="49"/>
      <c r="AM141" s="49"/>
      <c r="AN141" s="49"/>
      <c r="AO141" s="49"/>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50"/>
      <c r="CL141" s="50"/>
      <c r="CM141" s="50"/>
      <c r="CN141" s="50"/>
      <c r="CO141" s="50"/>
      <c r="CP141" s="50"/>
      <c r="CQ141" s="50"/>
      <c r="CR141" s="50"/>
      <c r="CS141" s="50"/>
      <c r="CT141" s="50"/>
      <c r="CU141" s="50"/>
      <c r="CV141" s="50"/>
      <c r="CW141" s="50"/>
      <c r="CX141" s="50"/>
      <c r="CY141" s="50"/>
      <c r="CZ141" s="50"/>
      <c r="DA141" s="50"/>
      <c r="DB141" s="50"/>
      <c r="DC141" s="50"/>
      <c r="DD141" s="50"/>
    </row>
    <row r="142" spans="1:108" s="1" customFormat="1" ht="18.649999999999999" customHeight="1">
      <c r="A142" s="302"/>
      <c r="B142" s="237"/>
      <c r="C142" s="65"/>
      <c r="D142" s="55"/>
      <c r="E142" s="56"/>
      <c r="F142" s="56"/>
      <c r="G142" s="56"/>
      <c r="H142" s="56"/>
      <c r="I142" s="56"/>
      <c r="J142" s="56"/>
      <c r="K142" s="56"/>
      <c r="L142" s="56"/>
      <c r="M142" s="57"/>
      <c r="O142" s="61"/>
      <c r="P142" s="62"/>
      <c r="Q142" s="62"/>
      <c r="R142" s="62"/>
      <c r="S142" s="62"/>
      <c r="T142" s="62"/>
      <c r="U142" s="62"/>
      <c r="V142" s="62"/>
      <c r="W142" s="62"/>
      <c r="X142" s="63"/>
      <c r="Z142" s="61"/>
      <c r="AA142" s="62"/>
      <c r="AB142" s="62"/>
      <c r="AC142" s="62"/>
      <c r="AD142" s="62"/>
      <c r="AE142" s="62"/>
      <c r="AF142" s="62"/>
      <c r="AG142" s="62"/>
      <c r="AH142" s="62"/>
      <c r="AI142" s="63"/>
      <c r="AK142" s="49"/>
      <c r="AL142" s="49"/>
      <c r="AM142" s="49"/>
      <c r="AN142" s="49"/>
      <c r="AO142" s="49"/>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50"/>
      <c r="CL142" s="50"/>
      <c r="CM142" s="50"/>
      <c r="CN142" s="50"/>
      <c r="CO142" s="50"/>
      <c r="CP142" s="50"/>
      <c r="CQ142" s="50"/>
      <c r="CR142" s="50"/>
      <c r="CS142" s="50"/>
      <c r="CT142" s="50"/>
      <c r="CU142" s="50"/>
      <c r="CV142" s="50"/>
      <c r="CW142" s="50"/>
      <c r="CX142" s="50"/>
      <c r="CY142" s="50"/>
      <c r="CZ142" s="50"/>
      <c r="DA142" s="50"/>
      <c r="DB142" s="50"/>
      <c r="DC142" s="50"/>
      <c r="DD142" s="50"/>
    </row>
    <row r="143" spans="1:108" s="1" customFormat="1" ht="20.149999999999999" customHeight="1">
      <c r="A143" s="302">
        <v>7</v>
      </c>
      <c r="B143" s="376" t="s">
        <v>192</v>
      </c>
      <c r="C143" s="377"/>
      <c r="D143" s="307">
        <f>IF($B$4="disclosure",(SUM(D144,D148)/COUNT(D144,D148)),"")</f>
        <v>0.58333333333333326</v>
      </c>
      <c r="E143" s="308">
        <f t="shared" ref="E143:M143" si="35">IF($B$4="disclosure",(SUM(E144,E148)/COUNT(E144,E148)),"")</f>
        <v>0</v>
      </c>
      <c r="F143" s="308">
        <f t="shared" si="35"/>
        <v>0.16666666666666666</v>
      </c>
      <c r="G143" s="308">
        <f t="shared" si="35"/>
        <v>0.41666666666666663</v>
      </c>
      <c r="H143" s="308">
        <f t="shared" si="35"/>
        <v>0.25</v>
      </c>
      <c r="I143" s="308">
        <f t="shared" si="35"/>
        <v>0</v>
      </c>
      <c r="J143" s="308">
        <f t="shared" si="35"/>
        <v>0.58333333333333326</v>
      </c>
      <c r="K143" s="308">
        <f t="shared" si="35"/>
        <v>0.25</v>
      </c>
      <c r="L143" s="308">
        <f t="shared" si="35"/>
        <v>0</v>
      </c>
      <c r="M143" s="309">
        <f t="shared" si="35"/>
        <v>0.33333333333333331</v>
      </c>
      <c r="O143" s="55"/>
      <c r="P143" s="56"/>
      <c r="Q143" s="56"/>
      <c r="R143" s="56"/>
      <c r="S143" s="56"/>
      <c r="T143" s="56"/>
      <c r="U143" s="56"/>
      <c r="V143" s="56"/>
      <c r="W143" s="56"/>
      <c r="X143" s="57"/>
      <c r="Z143" s="55"/>
      <c r="AA143" s="56"/>
      <c r="AB143" s="56"/>
      <c r="AC143" s="56"/>
      <c r="AD143" s="56"/>
      <c r="AE143" s="56"/>
      <c r="AF143" s="56"/>
      <c r="AG143" s="56"/>
      <c r="AH143" s="56"/>
      <c r="AI143" s="57"/>
      <c r="AK143" s="49"/>
      <c r="AL143" s="49"/>
      <c r="AM143" s="49"/>
      <c r="AN143" s="49"/>
      <c r="AO143" s="49"/>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c r="CF143" s="50"/>
      <c r="CG143" s="50"/>
      <c r="CH143" s="50"/>
      <c r="CI143" s="50"/>
      <c r="CJ143" s="50"/>
      <c r="CK143" s="50"/>
      <c r="CL143" s="50"/>
      <c r="CM143" s="50"/>
      <c r="CN143" s="50"/>
      <c r="CO143" s="50"/>
      <c r="CP143" s="50"/>
      <c r="CQ143" s="50"/>
      <c r="CR143" s="50"/>
      <c r="CS143" s="50"/>
      <c r="CT143" s="50"/>
      <c r="CU143" s="50"/>
      <c r="CV143" s="50"/>
      <c r="CW143" s="50"/>
      <c r="CX143" s="50"/>
      <c r="CY143" s="50"/>
      <c r="CZ143" s="50"/>
      <c r="DA143" s="50"/>
      <c r="DB143" s="50"/>
      <c r="DC143" s="50"/>
      <c r="DD143" s="50"/>
    </row>
    <row r="144" spans="1:108" s="1" customFormat="1" ht="20.149999999999999" customHeight="1" outlineLevel="1">
      <c r="A144" s="302">
        <v>7.1</v>
      </c>
      <c r="B144" s="226" t="s">
        <v>193</v>
      </c>
      <c r="C144" s="227" t="str">
        <f>VLOOKUP(A144, 'NZS O&amp;G and CA100'!$B$7:$D$194, 3, FALSE)</f>
        <v>Disclosure</v>
      </c>
      <c r="D144" s="310">
        <f>IF($B$4="Disclosure",(SUM(D145:D147)/COUNT(D145:D147)),"")</f>
        <v>0.66666666666666663</v>
      </c>
      <c r="E144" s="311">
        <f t="shared" ref="E144:M144" si="36">IF($B$4="Disclosure",(SUM(E145:E147)/COUNT(E145:E147)),"")</f>
        <v>0</v>
      </c>
      <c r="F144" s="311">
        <f t="shared" si="36"/>
        <v>0.33333333333333331</v>
      </c>
      <c r="G144" s="311">
        <f t="shared" si="36"/>
        <v>0.33333333333333331</v>
      </c>
      <c r="H144" s="311">
        <f t="shared" si="36"/>
        <v>0</v>
      </c>
      <c r="I144" s="311">
        <f t="shared" si="36"/>
        <v>0</v>
      </c>
      <c r="J144" s="311">
        <f t="shared" si="36"/>
        <v>0.66666666666666663</v>
      </c>
      <c r="K144" s="311">
        <f t="shared" si="36"/>
        <v>0</v>
      </c>
      <c r="L144" s="311">
        <f t="shared" si="36"/>
        <v>0</v>
      </c>
      <c r="M144" s="312">
        <f t="shared" si="36"/>
        <v>0.66666666666666663</v>
      </c>
      <c r="O144" s="55"/>
      <c r="P144" s="56"/>
      <c r="Q144" s="56"/>
      <c r="R144" s="56"/>
      <c r="S144" s="56"/>
      <c r="T144" s="56"/>
      <c r="U144" s="56"/>
      <c r="V144" s="56"/>
      <c r="W144" s="56"/>
      <c r="X144" s="57"/>
      <c r="Z144" s="55"/>
      <c r="AA144" s="56"/>
      <c r="AB144" s="56"/>
      <c r="AC144" s="56"/>
      <c r="AD144" s="56"/>
      <c r="AE144" s="56"/>
      <c r="AF144" s="56"/>
      <c r="AG144" s="56"/>
      <c r="AH144" s="56"/>
      <c r="AI144" s="57"/>
      <c r="AK144" s="49"/>
      <c r="AL144" s="49"/>
      <c r="AM144" s="49"/>
      <c r="AN144" s="49"/>
      <c r="AO144" s="49"/>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c r="CF144" s="50"/>
      <c r="CG144" s="50"/>
      <c r="CH144" s="50"/>
      <c r="CI144" s="50"/>
      <c r="CJ144" s="50"/>
      <c r="CK144" s="50"/>
      <c r="CL144" s="50"/>
      <c r="CM144" s="50"/>
      <c r="CN144" s="50"/>
      <c r="CO144" s="50"/>
      <c r="CP144" s="50"/>
      <c r="CQ144" s="50"/>
      <c r="CR144" s="50"/>
      <c r="CS144" s="50"/>
      <c r="CT144" s="50"/>
      <c r="CU144" s="50"/>
      <c r="CV144" s="50"/>
      <c r="CW144" s="50"/>
      <c r="CX144" s="50"/>
      <c r="CY144" s="50"/>
      <c r="CZ144" s="50"/>
      <c r="DA144" s="50"/>
      <c r="DB144" s="50"/>
      <c r="DC144" s="50"/>
      <c r="DD144" s="50"/>
    </row>
    <row r="145" spans="1:108" s="1" customFormat="1" ht="20.149999999999999" customHeight="1" outlineLevel="2">
      <c r="A145" s="302" t="s">
        <v>194</v>
      </c>
      <c r="B145" s="228" t="s">
        <v>195</v>
      </c>
      <c r="C145" s="227" t="str">
        <f>VLOOKUP(A145, 'NZS O&amp;G and CA100'!$B$7:$D$194, 3, FALSE)</f>
        <v>Disclosure</v>
      </c>
      <c r="D145" s="310">
        <f>IF(INDEX('NZS O&amp;G and CA100'!$D$5:$D$193, MATCH($A145, 'NZS O&amp;G and CA100'!$B$5:$B$193, 0)) =$B$4, INDEX('NZS O&amp;G and CA100'!$E$5:$N$193, MATCH($A145, 'NZS O&amp;G and CA100'!$B$5:$B$193, 0),MATCH(D$3, 'NZS O&amp;G and CA100'!$E$3:$N$3, 0)),"")</f>
        <v>1</v>
      </c>
      <c r="E145" s="311">
        <f>IF(INDEX('NZS O&amp;G and CA100'!$D$5:$D$193, MATCH($A145, 'NZS O&amp;G and CA100'!$B$5:$B$193, 0)) =$B$4, INDEX('NZS O&amp;G and CA100'!$E$5:$N$193, MATCH($A145, 'NZS O&amp;G and CA100'!$B$5:$B$193, 0),MATCH(E$3, 'NZS O&amp;G and CA100'!$E$3:$N$3, 0)),"")</f>
        <v>0</v>
      </c>
      <c r="F145" s="311">
        <f>IF(INDEX('NZS O&amp;G and CA100'!$D$5:$D$193, MATCH($A145, 'NZS O&amp;G and CA100'!$B$5:$B$193, 0)) =$B$4, INDEX('NZS O&amp;G and CA100'!$E$5:$N$193, MATCH($A145, 'NZS O&amp;G and CA100'!$B$5:$B$193, 0),MATCH(F$3, 'NZS O&amp;G and CA100'!$E$3:$N$3, 0)),"")</f>
        <v>1</v>
      </c>
      <c r="G145" s="311">
        <f>IF(INDEX('NZS O&amp;G and CA100'!$D$5:$D$193, MATCH($A145, 'NZS O&amp;G and CA100'!$B$5:$B$193, 0)) =$B$4, INDEX('NZS O&amp;G and CA100'!$E$5:$N$193, MATCH($A145, 'NZS O&amp;G and CA100'!$B$5:$B$193, 0),MATCH(G$3, 'NZS O&amp;G and CA100'!$E$3:$N$3, 0)),"")</f>
        <v>1</v>
      </c>
      <c r="H145" s="311">
        <f>IF(INDEX('NZS O&amp;G and CA100'!$D$5:$D$193, MATCH($A145, 'NZS O&amp;G and CA100'!$B$5:$B$193, 0)) =$B$4, INDEX('NZS O&amp;G and CA100'!$E$5:$N$193, MATCH($A145, 'NZS O&amp;G and CA100'!$B$5:$B$193, 0),MATCH(H$3, 'NZS O&amp;G and CA100'!$E$3:$N$3, 0)),"")</f>
        <v>0</v>
      </c>
      <c r="I145" s="311">
        <f>IF(INDEX('NZS O&amp;G and CA100'!$D$5:$D$193, MATCH($A145, 'NZS O&amp;G and CA100'!$B$5:$B$193, 0)) =$B$4, INDEX('NZS O&amp;G and CA100'!$E$5:$N$193, MATCH($A145, 'NZS O&amp;G and CA100'!$B$5:$B$193, 0),MATCH(I$3, 'NZS O&amp;G and CA100'!$E$3:$N$3, 0)),"")</f>
        <v>0</v>
      </c>
      <c r="J145" s="311">
        <f>IF(INDEX('NZS O&amp;G and CA100'!$D$5:$D$193, MATCH($A145, 'NZS O&amp;G and CA100'!$B$5:$B$193, 0)) =$B$4, INDEX('NZS O&amp;G and CA100'!$E$5:$N$193, MATCH($A145, 'NZS O&amp;G and CA100'!$B$5:$B$193, 0),MATCH(J$3, 'NZS O&amp;G and CA100'!$E$3:$N$3, 0)),"")</f>
        <v>1</v>
      </c>
      <c r="K145" s="311">
        <f>IF(INDEX('NZS O&amp;G and CA100'!$D$5:$D$193, MATCH($A145, 'NZS O&amp;G and CA100'!$B$5:$B$193, 0)) =$B$4, INDEX('NZS O&amp;G and CA100'!$E$5:$N$193, MATCH($A145, 'NZS O&amp;G and CA100'!$B$5:$B$193, 0),MATCH(K$3, 'NZS O&amp;G and CA100'!$E$3:$N$3, 0)),"")</f>
        <v>0</v>
      </c>
      <c r="L145" s="311">
        <f>IF(INDEX('NZS O&amp;G and CA100'!$D$5:$D$193, MATCH($A145, 'NZS O&amp;G and CA100'!$B$5:$B$193, 0)) =$B$4, INDEX('NZS O&amp;G and CA100'!$E$5:$N$193, MATCH($A145, 'NZS O&amp;G and CA100'!$B$5:$B$193, 0),MATCH(L$3, 'NZS O&amp;G and CA100'!$E$3:$N$3, 0)),"")</f>
        <v>0</v>
      </c>
      <c r="M145" s="312">
        <f>IF(INDEX('NZS O&amp;G and CA100'!$D$5:$D$193, MATCH($A145, 'NZS O&amp;G and CA100'!$B$5:$B$193, 0)) =$B$4, INDEX('NZS O&amp;G and CA100'!$E$5:$N$193, MATCH($A145, 'NZS O&amp;G and CA100'!$B$5:$B$193, 0),MATCH(M$3, 'NZS O&amp;G and CA100'!$E$3:$N$3, 0)),"")</f>
        <v>1</v>
      </c>
      <c r="O145" s="55"/>
      <c r="P145" s="56"/>
      <c r="Q145" s="56"/>
      <c r="R145" s="56"/>
      <c r="S145" s="56"/>
      <c r="T145" s="56"/>
      <c r="U145" s="56"/>
      <c r="V145" s="56"/>
      <c r="W145" s="56"/>
      <c r="X145" s="57"/>
      <c r="Z145" s="55"/>
      <c r="AA145" s="56"/>
      <c r="AB145" s="56"/>
      <c r="AC145" s="56"/>
      <c r="AD145" s="56"/>
      <c r="AE145" s="56"/>
      <c r="AF145" s="56"/>
      <c r="AG145" s="56"/>
      <c r="AH145" s="56"/>
      <c r="AI145" s="57"/>
      <c r="AK145" s="49"/>
      <c r="AL145" s="49"/>
      <c r="AM145" s="49"/>
      <c r="AN145" s="49"/>
      <c r="AO145" s="49"/>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c r="CE145" s="50"/>
      <c r="CF145" s="50"/>
      <c r="CG145" s="50"/>
      <c r="CH145" s="50"/>
      <c r="CI145" s="50"/>
      <c r="CJ145" s="50"/>
      <c r="CK145" s="50"/>
      <c r="CL145" s="50"/>
      <c r="CM145" s="50"/>
      <c r="CN145" s="50"/>
      <c r="CO145" s="50"/>
      <c r="CP145" s="50"/>
      <c r="CQ145" s="50"/>
      <c r="CR145" s="50"/>
      <c r="CS145" s="50"/>
      <c r="CT145" s="50"/>
      <c r="CU145" s="50"/>
      <c r="CV145" s="50"/>
      <c r="CW145" s="50"/>
      <c r="CX145" s="50"/>
      <c r="CY145" s="50"/>
      <c r="CZ145" s="50"/>
      <c r="DA145" s="50"/>
      <c r="DB145" s="50"/>
      <c r="DC145" s="50"/>
      <c r="DD145" s="50"/>
    </row>
    <row r="146" spans="1:108" s="1" customFormat="1" ht="20.149999999999999" customHeight="1" outlineLevel="2">
      <c r="A146" s="302" t="s">
        <v>196</v>
      </c>
      <c r="B146" s="228" t="s">
        <v>197</v>
      </c>
      <c r="C146" s="227" t="str">
        <f>VLOOKUP(A146, 'NZS O&amp;G and CA100'!$B$7:$D$194, 3, FALSE)</f>
        <v>Disclosure</v>
      </c>
      <c r="D146" s="310">
        <f>IF(INDEX('NZS O&amp;G and CA100'!$D$5:$D$193, MATCH($A146, 'NZS O&amp;G and CA100'!$B$5:$B$193, 0)) =$B$4, INDEX('NZS O&amp;G and CA100'!$E$5:$N$193, MATCH($A146, 'NZS O&amp;G and CA100'!$B$5:$B$193, 0),MATCH(D$3, 'NZS O&amp;G and CA100'!$E$3:$N$3, 0)),"")</f>
        <v>1</v>
      </c>
      <c r="E146" s="311">
        <f>IF(INDEX('NZS O&amp;G and CA100'!$D$5:$D$193, MATCH($A146, 'NZS O&amp;G and CA100'!$B$5:$B$193, 0)) =$B$4, INDEX('NZS O&amp;G and CA100'!$E$5:$N$193, MATCH($A146, 'NZS O&amp;G and CA100'!$B$5:$B$193, 0),MATCH(E$3, 'NZS O&amp;G and CA100'!$E$3:$N$3, 0)),"")</f>
        <v>0</v>
      </c>
      <c r="F146" s="311">
        <f>IF(INDEX('NZS O&amp;G and CA100'!$D$5:$D$193, MATCH($A146, 'NZS O&amp;G and CA100'!$B$5:$B$193, 0)) =$B$4, INDEX('NZS O&amp;G and CA100'!$E$5:$N$193, MATCH($A146, 'NZS O&amp;G and CA100'!$B$5:$B$193, 0),MATCH(F$3, 'NZS O&amp;G and CA100'!$E$3:$N$3, 0)),"")</f>
        <v>0</v>
      </c>
      <c r="G146" s="311">
        <f>IF(INDEX('NZS O&amp;G and CA100'!$D$5:$D$193, MATCH($A146, 'NZS O&amp;G and CA100'!$B$5:$B$193, 0)) =$B$4, INDEX('NZS O&amp;G and CA100'!$E$5:$N$193, MATCH($A146, 'NZS O&amp;G and CA100'!$B$5:$B$193, 0),MATCH(G$3, 'NZS O&amp;G and CA100'!$E$3:$N$3, 0)),"")</f>
        <v>0</v>
      </c>
      <c r="H146" s="311">
        <f>IF(INDEX('NZS O&amp;G and CA100'!$D$5:$D$193, MATCH($A146, 'NZS O&amp;G and CA100'!$B$5:$B$193, 0)) =$B$4, INDEX('NZS O&amp;G and CA100'!$E$5:$N$193, MATCH($A146, 'NZS O&amp;G and CA100'!$B$5:$B$193, 0),MATCH(H$3, 'NZS O&amp;G and CA100'!$E$3:$N$3, 0)),"")</f>
        <v>0</v>
      </c>
      <c r="I146" s="311">
        <f>IF(INDEX('NZS O&amp;G and CA100'!$D$5:$D$193, MATCH($A146, 'NZS O&amp;G and CA100'!$B$5:$B$193, 0)) =$B$4, INDEX('NZS O&amp;G and CA100'!$E$5:$N$193, MATCH($A146, 'NZS O&amp;G and CA100'!$B$5:$B$193, 0),MATCH(I$3, 'NZS O&amp;G and CA100'!$E$3:$N$3, 0)),"")</f>
        <v>0</v>
      </c>
      <c r="J146" s="311">
        <f>IF(INDEX('NZS O&amp;G and CA100'!$D$5:$D$193, MATCH($A146, 'NZS O&amp;G and CA100'!$B$5:$B$193, 0)) =$B$4, INDEX('NZS O&amp;G and CA100'!$E$5:$N$193, MATCH($A146, 'NZS O&amp;G and CA100'!$B$5:$B$193, 0),MATCH(J$3, 'NZS O&amp;G and CA100'!$E$3:$N$3, 0)),"")</f>
        <v>1</v>
      </c>
      <c r="K146" s="311">
        <f>IF(INDEX('NZS O&amp;G and CA100'!$D$5:$D$193, MATCH($A146, 'NZS O&amp;G and CA100'!$B$5:$B$193, 0)) =$B$4, INDEX('NZS O&amp;G and CA100'!$E$5:$N$193, MATCH($A146, 'NZS O&amp;G and CA100'!$B$5:$B$193, 0),MATCH(K$3, 'NZS O&amp;G and CA100'!$E$3:$N$3, 0)),"")</f>
        <v>0</v>
      </c>
      <c r="L146" s="311">
        <f>IF(INDEX('NZS O&amp;G and CA100'!$D$5:$D$193, MATCH($A146, 'NZS O&amp;G and CA100'!$B$5:$B$193, 0)) =$B$4, INDEX('NZS O&amp;G and CA100'!$E$5:$N$193, MATCH($A146, 'NZS O&amp;G and CA100'!$B$5:$B$193, 0),MATCH(L$3, 'NZS O&amp;G and CA100'!$E$3:$N$3, 0)),"")</f>
        <v>0</v>
      </c>
      <c r="M146" s="312">
        <f>IF(INDEX('NZS O&amp;G and CA100'!$D$5:$D$193, MATCH($A146, 'NZS O&amp;G and CA100'!$B$5:$B$193, 0)) =$B$4, INDEX('NZS O&amp;G and CA100'!$E$5:$N$193, MATCH($A146, 'NZS O&amp;G and CA100'!$B$5:$B$193, 0),MATCH(M$3, 'NZS O&amp;G and CA100'!$E$3:$N$3, 0)),"")</f>
        <v>1</v>
      </c>
      <c r="O146" s="55"/>
      <c r="P146" s="56"/>
      <c r="Q146" s="56"/>
      <c r="R146" s="56"/>
      <c r="S146" s="56"/>
      <c r="T146" s="56"/>
      <c r="U146" s="56"/>
      <c r="V146" s="56"/>
      <c r="W146" s="56"/>
      <c r="X146" s="57"/>
      <c r="Z146" s="55"/>
      <c r="AA146" s="56"/>
      <c r="AB146" s="56"/>
      <c r="AC146" s="56"/>
      <c r="AD146" s="56"/>
      <c r="AE146" s="56"/>
      <c r="AF146" s="56"/>
      <c r="AG146" s="56"/>
      <c r="AH146" s="56"/>
      <c r="AI146" s="57"/>
      <c r="AK146" s="49"/>
      <c r="AL146" s="49"/>
      <c r="AM146" s="49"/>
      <c r="AN146" s="49"/>
      <c r="AO146" s="49"/>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c r="CE146" s="50"/>
      <c r="CF146" s="50"/>
      <c r="CG146" s="50"/>
      <c r="CH146" s="50"/>
      <c r="CI146" s="50"/>
      <c r="CJ146" s="50"/>
      <c r="CK146" s="50"/>
      <c r="CL146" s="50"/>
      <c r="CM146" s="50"/>
      <c r="CN146" s="50"/>
      <c r="CO146" s="50"/>
      <c r="CP146" s="50"/>
      <c r="CQ146" s="50"/>
      <c r="CR146" s="50"/>
      <c r="CS146" s="50"/>
      <c r="CT146" s="50"/>
      <c r="CU146" s="50"/>
      <c r="CV146" s="50"/>
      <c r="CW146" s="50"/>
      <c r="CX146" s="50"/>
      <c r="CY146" s="50"/>
      <c r="CZ146" s="50"/>
      <c r="DA146" s="50"/>
      <c r="DB146" s="50"/>
      <c r="DC146" s="50"/>
      <c r="DD146" s="50"/>
    </row>
    <row r="147" spans="1:108" s="1" customFormat="1" ht="20.149999999999999" customHeight="1" outlineLevel="2">
      <c r="A147" s="302" t="s">
        <v>198</v>
      </c>
      <c r="B147" s="228" t="s">
        <v>199</v>
      </c>
      <c r="C147" s="227" t="str">
        <f>VLOOKUP(A147, 'NZS O&amp;G and CA100'!$B$7:$D$194, 3, FALSE)</f>
        <v>Disclosure</v>
      </c>
      <c r="D147" s="310">
        <f>IF(INDEX('NZS O&amp;G and CA100'!$D$5:$D$193, MATCH($A147, 'NZS O&amp;G and CA100'!$B$5:$B$193, 0)) =$B$4, INDEX('NZS O&amp;G and CA100'!$E$5:$N$193, MATCH($A147, 'NZS O&amp;G and CA100'!$B$5:$B$193, 0),MATCH(D$3, 'NZS O&amp;G and CA100'!$E$3:$N$3, 0)),"")</f>
        <v>0</v>
      </c>
      <c r="E147" s="311">
        <f>IF(INDEX('NZS O&amp;G and CA100'!$D$5:$D$193, MATCH($A147, 'NZS O&amp;G and CA100'!$B$5:$B$193, 0)) =$B$4, INDEX('NZS O&amp;G and CA100'!$E$5:$N$193, MATCH($A147, 'NZS O&amp;G and CA100'!$B$5:$B$193, 0),MATCH(E$3, 'NZS O&amp;G and CA100'!$E$3:$N$3, 0)),"")</f>
        <v>0</v>
      </c>
      <c r="F147" s="311">
        <f>IF(INDEX('NZS O&amp;G and CA100'!$D$5:$D$193, MATCH($A147, 'NZS O&amp;G and CA100'!$B$5:$B$193, 0)) =$B$4, INDEX('NZS O&amp;G and CA100'!$E$5:$N$193, MATCH($A147, 'NZS O&amp;G and CA100'!$B$5:$B$193, 0),MATCH(F$3, 'NZS O&amp;G and CA100'!$E$3:$N$3, 0)),"")</f>
        <v>0</v>
      </c>
      <c r="G147" s="311">
        <f>IF(INDEX('NZS O&amp;G and CA100'!$D$5:$D$193, MATCH($A147, 'NZS O&amp;G and CA100'!$B$5:$B$193, 0)) =$B$4, INDEX('NZS O&amp;G and CA100'!$E$5:$N$193, MATCH($A147, 'NZS O&amp;G and CA100'!$B$5:$B$193, 0),MATCH(G$3, 'NZS O&amp;G and CA100'!$E$3:$N$3, 0)),"")</f>
        <v>0</v>
      </c>
      <c r="H147" s="311">
        <f>IF(INDEX('NZS O&amp;G and CA100'!$D$5:$D$193, MATCH($A147, 'NZS O&amp;G and CA100'!$B$5:$B$193, 0)) =$B$4, INDEX('NZS O&amp;G and CA100'!$E$5:$N$193, MATCH($A147, 'NZS O&amp;G and CA100'!$B$5:$B$193, 0),MATCH(H$3, 'NZS O&amp;G and CA100'!$E$3:$N$3, 0)),"")</f>
        <v>0</v>
      </c>
      <c r="I147" s="311">
        <f>IF(INDEX('NZS O&amp;G and CA100'!$D$5:$D$193, MATCH($A147, 'NZS O&amp;G and CA100'!$B$5:$B$193, 0)) =$B$4, INDEX('NZS O&amp;G and CA100'!$E$5:$N$193, MATCH($A147, 'NZS O&amp;G and CA100'!$B$5:$B$193, 0),MATCH(I$3, 'NZS O&amp;G and CA100'!$E$3:$N$3, 0)),"")</f>
        <v>0</v>
      </c>
      <c r="J147" s="311">
        <f>IF(INDEX('NZS O&amp;G and CA100'!$D$5:$D$193, MATCH($A147, 'NZS O&amp;G and CA100'!$B$5:$B$193, 0)) =$B$4, INDEX('NZS O&amp;G and CA100'!$E$5:$N$193, MATCH($A147, 'NZS O&amp;G and CA100'!$B$5:$B$193, 0),MATCH(J$3, 'NZS O&amp;G and CA100'!$E$3:$N$3, 0)),"")</f>
        <v>0</v>
      </c>
      <c r="K147" s="311">
        <f>IF(INDEX('NZS O&amp;G and CA100'!$D$5:$D$193, MATCH($A147, 'NZS O&amp;G and CA100'!$B$5:$B$193, 0)) =$B$4, INDEX('NZS O&amp;G and CA100'!$E$5:$N$193, MATCH($A147, 'NZS O&amp;G and CA100'!$B$5:$B$193, 0),MATCH(K$3, 'NZS O&amp;G and CA100'!$E$3:$N$3, 0)),"")</f>
        <v>0</v>
      </c>
      <c r="L147" s="311">
        <f>IF(INDEX('NZS O&amp;G and CA100'!$D$5:$D$193, MATCH($A147, 'NZS O&amp;G and CA100'!$B$5:$B$193, 0)) =$B$4, INDEX('NZS O&amp;G and CA100'!$E$5:$N$193, MATCH($A147, 'NZS O&amp;G and CA100'!$B$5:$B$193, 0),MATCH(L$3, 'NZS O&amp;G and CA100'!$E$3:$N$3, 0)),"")</f>
        <v>0</v>
      </c>
      <c r="M147" s="312">
        <f>IF(INDEX('NZS O&amp;G and CA100'!$D$5:$D$193, MATCH($A147, 'NZS O&amp;G and CA100'!$B$5:$B$193, 0)) =$B$4, INDEX('NZS O&amp;G and CA100'!$E$5:$N$193, MATCH($A147, 'NZS O&amp;G and CA100'!$B$5:$B$193, 0),MATCH(M$3, 'NZS O&amp;G and CA100'!$E$3:$N$3, 0)),"")</f>
        <v>0</v>
      </c>
      <c r="O147" s="55"/>
      <c r="P147" s="56"/>
      <c r="Q147" s="56"/>
      <c r="R147" s="56"/>
      <c r="S147" s="56"/>
      <c r="T147" s="56"/>
      <c r="U147" s="56"/>
      <c r="V147" s="56"/>
      <c r="W147" s="56"/>
      <c r="X147" s="57"/>
      <c r="Z147" s="55"/>
      <c r="AA147" s="56"/>
      <c r="AB147" s="56"/>
      <c r="AC147" s="56"/>
      <c r="AD147" s="56"/>
      <c r="AE147" s="56"/>
      <c r="AF147" s="56"/>
      <c r="AG147" s="56"/>
      <c r="AH147" s="56"/>
      <c r="AI147" s="57"/>
      <c r="AK147" s="49"/>
      <c r="AL147" s="49"/>
      <c r="AM147" s="49"/>
      <c r="AN147" s="49"/>
      <c r="AO147" s="49"/>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c r="CF147" s="50"/>
      <c r="CG147" s="50"/>
      <c r="CH147" s="50"/>
      <c r="CI147" s="50"/>
      <c r="CJ147" s="50"/>
      <c r="CK147" s="50"/>
      <c r="CL147" s="50"/>
      <c r="CM147" s="50"/>
      <c r="CN147" s="50"/>
      <c r="CO147" s="50"/>
      <c r="CP147" s="50"/>
      <c r="CQ147" s="50"/>
      <c r="CR147" s="50"/>
      <c r="CS147" s="50"/>
      <c r="CT147" s="50"/>
      <c r="CU147" s="50"/>
      <c r="CV147" s="50"/>
      <c r="CW147" s="50"/>
      <c r="CX147" s="50"/>
      <c r="CY147" s="50"/>
      <c r="CZ147" s="50"/>
      <c r="DA147" s="50"/>
      <c r="DB147" s="50"/>
      <c r="DC147" s="50"/>
      <c r="DD147" s="50"/>
    </row>
    <row r="148" spans="1:108" s="1" customFormat="1" ht="20.149999999999999" customHeight="1" outlineLevel="1">
      <c r="A148" s="302">
        <v>7.2</v>
      </c>
      <c r="B148" s="226" t="s">
        <v>200</v>
      </c>
      <c r="C148" s="227" t="str">
        <f>VLOOKUP(A148, 'NZS O&amp;G and CA100'!$B$7:$D$194, 3, FALSE)</f>
        <v>Disclosure</v>
      </c>
      <c r="D148" s="310">
        <f>IF($B$4="Disclosure",(SUM(D149:D150)/COUNT(D149:D150)),"")</f>
        <v>0.5</v>
      </c>
      <c r="E148" s="311">
        <f t="shared" ref="E148:M148" si="37">IF($B$4="Disclosure",(SUM(E149:E150)/COUNT(E149:E150)),"")</f>
        <v>0</v>
      </c>
      <c r="F148" s="311">
        <f t="shared" si="37"/>
        <v>0</v>
      </c>
      <c r="G148" s="311">
        <f t="shared" si="37"/>
        <v>0.5</v>
      </c>
      <c r="H148" s="311">
        <f t="shared" si="37"/>
        <v>0.5</v>
      </c>
      <c r="I148" s="311">
        <f t="shared" si="37"/>
        <v>0</v>
      </c>
      <c r="J148" s="311">
        <f t="shared" si="37"/>
        <v>0.5</v>
      </c>
      <c r="K148" s="311">
        <f t="shared" si="37"/>
        <v>0.5</v>
      </c>
      <c r="L148" s="311">
        <f t="shared" si="37"/>
        <v>0</v>
      </c>
      <c r="M148" s="312">
        <f t="shared" si="37"/>
        <v>0</v>
      </c>
      <c r="O148" s="55"/>
      <c r="P148" s="56"/>
      <c r="Q148" s="56"/>
      <c r="R148" s="56"/>
      <c r="S148" s="56"/>
      <c r="T148" s="56"/>
      <c r="U148" s="56"/>
      <c r="V148" s="56"/>
      <c r="W148" s="56"/>
      <c r="X148" s="57"/>
      <c r="Z148" s="55"/>
      <c r="AA148" s="56"/>
      <c r="AB148" s="56"/>
      <c r="AC148" s="56"/>
      <c r="AD148" s="56"/>
      <c r="AE148" s="56"/>
      <c r="AF148" s="56"/>
      <c r="AG148" s="56"/>
      <c r="AH148" s="56"/>
      <c r="AI148" s="57"/>
      <c r="AK148" s="49"/>
      <c r="AL148" s="49"/>
      <c r="AM148" s="49"/>
      <c r="AN148" s="49"/>
      <c r="AO148" s="49"/>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c r="BL148" s="50"/>
      <c r="BM148" s="50"/>
      <c r="BN148" s="50"/>
      <c r="BO148" s="50"/>
      <c r="BP148" s="50"/>
      <c r="BQ148" s="50"/>
      <c r="BR148" s="50"/>
      <c r="BS148" s="50"/>
      <c r="BT148" s="50"/>
      <c r="BU148" s="50"/>
      <c r="BV148" s="50"/>
      <c r="BW148" s="50"/>
      <c r="BX148" s="50"/>
      <c r="BY148" s="50"/>
      <c r="BZ148" s="50"/>
      <c r="CA148" s="50"/>
      <c r="CB148" s="50"/>
      <c r="CC148" s="50"/>
      <c r="CD148" s="50"/>
      <c r="CE148" s="50"/>
      <c r="CF148" s="50"/>
      <c r="CG148" s="50"/>
      <c r="CH148" s="50"/>
      <c r="CI148" s="50"/>
      <c r="CJ148" s="50"/>
      <c r="CK148" s="50"/>
      <c r="CL148" s="50"/>
      <c r="CM148" s="50"/>
      <c r="CN148" s="50"/>
      <c r="CO148" s="50"/>
      <c r="CP148" s="50"/>
      <c r="CQ148" s="50"/>
      <c r="CR148" s="50"/>
      <c r="CS148" s="50"/>
      <c r="CT148" s="50"/>
      <c r="CU148" s="50"/>
      <c r="CV148" s="50"/>
      <c r="CW148" s="50"/>
      <c r="CX148" s="50"/>
      <c r="CY148" s="50"/>
      <c r="CZ148" s="50"/>
      <c r="DA148" s="50"/>
      <c r="DB148" s="50"/>
      <c r="DC148" s="50"/>
      <c r="DD148" s="50"/>
    </row>
    <row r="149" spans="1:108" s="1" customFormat="1" ht="20.149999999999999" customHeight="1" outlineLevel="2">
      <c r="A149" s="302" t="s">
        <v>201</v>
      </c>
      <c r="B149" s="228" t="s">
        <v>202</v>
      </c>
      <c r="C149" s="227" t="str">
        <f>VLOOKUP(A149, 'NZS O&amp;G and CA100'!$B$7:$D$194, 3, FALSE)</f>
        <v>Disclosure</v>
      </c>
      <c r="D149" s="310">
        <f>IF(INDEX('NZS O&amp;G and CA100'!$D$5:$D$193, MATCH($A149, 'NZS O&amp;G and CA100'!$B$5:$B$193, 0)) =$B$4, INDEX('NZS O&amp;G and CA100'!$E$5:$N$193, MATCH($A149, 'NZS O&amp;G and CA100'!$B$5:$B$193, 0),MATCH(D$3, 'NZS O&amp;G and CA100'!$E$3:$N$3, 0)),"")</f>
        <v>0</v>
      </c>
      <c r="E149" s="311">
        <f>IF(INDEX('NZS O&amp;G and CA100'!$D$5:$D$193, MATCH($A149, 'NZS O&amp;G and CA100'!$B$5:$B$193, 0)) =$B$4, INDEX('NZS O&amp;G and CA100'!$E$5:$N$193, MATCH($A149, 'NZS O&amp;G and CA100'!$B$5:$B$193, 0),MATCH(E$3, 'NZS O&amp;G and CA100'!$E$3:$N$3, 0)),"")</f>
        <v>0</v>
      </c>
      <c r="F149" s="311">
        <f>IF(INDEX('NZS O&amp;G and CA100'!$D$5:$D$193, MATCH($A149, 'NZS O&amp;G and CA100'!$B$5:$B$193, 0)) =$B$4, INDEX('NZS O&amp;G and CA100'!$E$5:$N$193, MATCH($A149, 'NZS O&amp;G and CA100'!$B$5:$B$193, 0),MATCH(F$3, 'NZS O&amp;G and CA100'!$E$3:$N$3, 0)),"")</f>
        <v>0</v>
      </c>
      <c r="G149" s="311">
        <f>IF(INDEX('NZS O&amp;G and CA100'!$D$5:$D$193, MATCH($A149, 'NZS O&amp;G and CA100'!$B$5:$B$193, 0)) =$B$4, INDEX('NZS O&amp;G and CA100'!$E$5:$N$193, MATCH($A149, 'NZS O&amp;G and CA100'!$B$5:$B$193, 0),MATCH(G$3, 'NZS O&amp;G and CA100'!$E$3:$N$3, 0)),"")</f>
        <v>0</v>
      </c>
      <c r="H149" s="311">
        <f>IF(INDEX('NZS O&amp;G and CA100'!$D$5:$D$193, MATCH($A149, 'NZS O&amp;G and CA100'!$B$5:$B$193, 0)) =$B$4, INDEX('NZS O&amp;G and CA100'!$E$5:$N$193, MATCH($A149, 'NZS O&amp;G and CA100'!$B$5:$B$193, 0),MATCH(H$3, 'NZS O&amp;G and CA100'!$E$3:$N$3, 0)),"")</f>
        <v>0</v>
      </c>
      <c r="I149" s="311">
        <f>IF(INDEX('NZS O&amp;G and CA100'!$D$5:$D$193, MATCH($A149, 'NZS O&amp;G and CA100'!$B$5:$B$193, 0)) =$B$4, INDEX('NZS O&amp;G and CA100'!$E$5:$N$193, MATCH($A149, 'NZS O&amp;G and CA100'!$B$5:$B$193, 0),MATCH(I$3, 'NZS O&amp;G and CA100'!$E$3:$N$3, 0)),"")</f>
        <v>0</v>
      </c>
      <c r="J149" s="311">
        <f>IF(INDEX('NZS O&amp;G and CA100'!$D$5:$D$193, MATCH($A149, 'NZS O&amp;G and CA100'!$B$5:$B$193, 0)) =$B$4, INDEX('NZS O&amp;G and CA100'!$E$5:$N$193, MATCH($A149, 'NZS O&amp;G and CA100'!$B$5:$B$193, 0),MATCH(J$3, 'NZS O&amp;G and CA100'!$E$3:$N$3, 0)),"")</f>
        <v>0</v>
      </c>
      <c r="K149" s="311">
        <f>IF(INDEX('NZS O&amp;G and CA100'!$D$5:$D$193, MATCH($A149, 'NZS O&amp;G and CA100'!$B$5:$B$193, 0)) =$B$4, INDEX('NZS O&amp;G and CA100'!$E$5:$N$193, MATCH($A149, 'NZS O&amp;G and CA100'!$B$5:$B$193, 0),MATCH(K$3, 'NZS O&amp;G and CA100'!$E$3:$N$3, 0)),"")</f>
        <v>0</v>
      </c>
      <c r="L149" s="311">
        <f>IF(INDEX('NZS O&amp;G and CA100'!$D$5:$D$193, MATCH($A149, 'NZS O&amp;G and CA100'!$B$5:$B$193, 0)) =$B$4, INDEX('NZS O&amp;G and CA100'!$E$5:$N$193, MATCH($A149, 'NZS O&amp;G and CA100'!$B$5:$B$193, 0),MATCH(L$3, 'NZS O&amp;G and CA100'!$E$3:$N$3, 0)),"")</f>
        <v>0</v>
      </c>
      <c r="M149" s="312">
        <f>IF(INDEX('NZS O&amp;G and CA100'!$D$5:$D$193, MATCH($A149, 'NZS O&amp;G and CA100'!$B$5:$B$193, 0)) =$B$4, INDEX('NZS O&amp;G and CA100'!$E$5:$N$193, MATCH($A149, 'NZS O&amp;G and CA100'!$B$5:$B$193, 0),MATCH(M$3, 'NZS O&amp;G and CA100'!$E$3:$N$3, 0)),"")</f>
        <v>0</v>
      </c>
      <c r="O149" s="55"/>
      <c r="P149" s="56"/>
      <c r="Q149" s="56"/>
      <c r="R149" s="56"/>
      <c r="S149" s="56"/>
      <c r="T149" s="56"/>
      <c r="U149" s="56"/>
      <c r="V149" s="56"/>
      <c r="W149" s="56"/>
      <c r="X149" s="57"/>
      <c r="Z149" s="55"/>
      <c r="AA149" s="56"/>
      <c r="AB149" s="56"/>
      <c r="AC149" s="56"/>
      <c r="AD149" s="56"/>
      <c r="AE149" s="56"/>
      <c r="AF149" s="56"/>
      <c r="AG149" s="56"/>
      <c r="AH149" s="56"/>
      <c r="AI149" s="57"/>
      <c r="AK149" s="49"/>
      <c r="AL149" s="49"/>
      <c r="AM149" s="49"/>
      <c r="AN149" s="49"/>
      <c r="AO149" s="49"/>
      <c r="AP149" s="50"/>
      <c r="AQ149" s="50"/>
      <c r="AR149" s="50"/>
      <c r="AS149" s="50"/>
      <c r="AT149" s="50"/>
      <c r="AU149" s="50"/>
      <c r="AV149" s="50"/>
      <c r="AW149" s="50"/>
      <c r="AX149" s="50"/>
      <c r="AY149" s="50"/>
      <c r="AZ149" s="50"/>
      <c r="BA149" s="50"/>
      <c r="BB149" s="50"/>
      <c r="BC149" s="50"/>
      <c r="BD149" s="50"/>
      <c r="BE149" s="50"/>
      <c r="BF149" s="50"/>
      <c r="BG149" s="50"/>
      <c r="BH149" s="50"/>
      <c r="BI149" s="50"/>
      <c r="BJ149" s="50"/>
      <c r="BK149" s="50"/>
      <c r="BL149" s="50"/>
      <c r="BM149" s="50"/>
      <c r="BN149" s="50"/>
      <c r="BO149" s="50"/>
      <c r="BP149" s="50"/>
      <c r="BQ149" s="50"/>
      <c r="BR149" s="50"/>
      <c r="BS149" s="50"/>
      <c r="BT149" s="50"/>
      <c r="BU149" s="50"/>
      <c r="BV149" s="50"/>
      <c r="BW149" s="50"/>
      <c r="BX149" s="50"/>
      <c r="BY149" s="50"/>
      <c r="BZ149" s="50"/>
      <c r="CA149" s="50"/>
      <c r="CB149" s="50"/>
      <c r="CC149" s="50"/>
      <c r="CD149" s="50"/>
      <c r="CE149" s="50"/>
      <c r="CF149" s="50"/>
      <c r="CG149" s="50"/>
      <c r="CH149" s="50"/>
      <c r="CI149" s="50"/>
      <c r="CJ149" s="50"/>
      <c r="CK149" s="50"/>
      <c r="CL149" s="50"/>
      <c r="CM149" s="50"/>
      <c r="CN149" s="50"/>
      <c r="CO149" s="50"/>
      <c r="CP149" s="50"/>
      <c r="CQ149" s="50"/>
      <c r="CR149" s="50"/>
      <c r="CS149" s="50"/>
      <c r="CT149" s="50"/>
      <c r="CU149" s="50"/>
      <c r="CV149" s="50"/>
      <c r="CW149" s="50"/>
      <c r="CX149" s="50"/>
      <c r="CY149" s="50"/>
      <c r="CZ149" s="50"/>
      <c r="DA149" s="50"/>
      <c r="DB149" s="50"/>
      <c r="DC149" s="50"/>
      <c r="DD149" s="50"/>
    </row>
    <row r="150" spans="1:108" s="1" customFormat="1" ht="20.149999999999999" customHeight="1" outlineLevel="2">
      <c r="A150" s="302" t="s">
        <v>203</v>
      </c>
      <c r="B150" s="228" t="s">
        <v>204</v>
      </c>
      <c r="C150" s="227" t="str">
        <f>VLOOKUP(A150, 'NZS O&amp;G and CA100'!$B$7:$D$194, 3, FALSE)</f>
        <v>Disclosure</v>
      </c>
      <c r="D150" s="310">
        <f>IF(INDEX('NZS O&amp;G and CA100'!$D$5:$D$193, MATCH($A150, 'NZS O&amp;G and CA100'!$B$5:$B$193, 0)) =$B$4, INDEX('NZS O&amp;G and CA100'!$E$5:$N$193, MATCH($A150, 'NZS O&amp;G and CA100'!$B$5:$B$193, 0),MATCH(D$3, 'NZS O&amp;G and CA100'!$E$3:$N$3, 0)),"")</f>
        <v>1</v>
      </c>
      <c r="E150" s="311">
        <f>IF(INDEX('NZS O&amp;G and CA100'!$D$5:$D$193, MATCH($A150, 'NZS O&amp;G and CA100'!$B$5:$B$193, 0)) =$B$4, INDEX('NZS O&amp;G and CA100'!$E$5:$N$193, MATCH($A150, 'NZS O&amp;G and CA100'!$B$5:$B$193, 0),MATCH(E$3, 'NZS O&amp;G and CA100'!$E$3:$N$3, 0)),"")</f>
        <v>0</v>
      </c>
      <c r="F150" s="311">
        <f>IF(INDEX('NZS O&amp;G and CA100'!$D$5:$D$193, MATCH($A150, 'NZS O&amp;G and CA100'!$B$5:$B$193, 0)) =$B$4, INDEX('NZS O&amp;G and CA100'!$E$5:$N$193, MATCH($A150, 'NZS O&amp;G and CA100'!$B$5:$B$193, 0),MATCH(F$3, 'NZS O&amp;G and CA100'!$E$3:$N$3, 0)),"")</f>
        <v>0</v>
      </c>
      <c r="G150" s="311">
        <f>IF(INDEX('NZS O&amp;G and CA100'!$D$5:$D$193, MATCH($A150, 'NZS O&amp;G and CA100'!$B$5:$B$193, 0)) =$B$4, INDEX('NZS O&amp;G and CA100'!$E$5:$N$193, MATCH($A150, 'NZS O&amp;G and CA100'!$B$5:$B$193, 0),MATCH(G$3, 'NZS O&amp;G and CA100'!$E$3:$N$3, 0)),"")</f>
        <v>1</v>
      </c>
      <c r="H150" s="311">
        <f>IF(INDEX('NZS O&amp;G and CA100'!$D$5:$D$193, MATCH($A150, 'NZS O&amp;G and CA100'!$B$5:$B$193, 0)) =$B$4, INDEX('NZS O&amp;G and CA100'!$E$5:$N$193, MATCH($A150, 'NZS O&amp;G and CA100'!$B$5:$B$193, 0),MATCH(H$3, 'NZS O&amp;G and CA100'!$E$3:$N$3, 0)),"")</f>
        <v>1</v>
      </c>
      <c r="I150" s="311">
        <f>IF(INDEX('NZS O&amp;G and CA100'!$D$5:$D$193, MATCH($A150, 'NZS O&amp;G and CA100'!$B$5:$B$193, 0)) =$B$4, INDEX('NZS O&amp;G and CA100'!$E$5:$N$193, MATCH($A150, 'NZS O&amp;G and CA100'!$B$5:$B$193, 0),MATCH(I$3, 'NZS O&amp;G and CA100'!$E$3:$N$3, 0)),"")</f>
        <v>0</v>
      </c>
      <c r="J150" s="311">
        <f>IF(INDEX('NZS O&amp;G and CA100'!$D$5:$D$193, MATCH($A150, 'NZS O&amp;G and CA100'!$B$5:$B$193, 0)) =$B$4, INDEX('NZS O&amp;G and CA100'!$E$5:$N$193, MATCH($A150, 'NZS O&amp;G and CA100'!$B$5:$B$193, 0),MATCH(J$3, 'NZS O&amp;G and CA100'!$E$3:$N$3, 0)),"")</f>
        <v>1</v>
      </c>
      <c r="K150" s="311">
        <f>IF(INDEX('NZS O&amp;G and CA100'!$D$5:$D$193, MATCH($A150, 'NZS O&amp;G and CA100'!$B$5:$B$193, 0)) =$B$4, INDEX('NZS O&amp;G and CA100'!$E$5:$N$193, MATCH($A150, 'NZS O&amp;G and CA100'!$B$5:$B$193, 0),MATCH(K$3, 'NZS O&amp;G and CA100'!$E$3:$N$3, 0)),"")</f>
        <v>1</v>
      </c>
      <c r="L150" s="311">
        <f>IF(INDEX('NZS O&amp;G and CA100'!$D$5:$D$193, MATCH($A150, 'NZS O&amp;G and CA100'!$B$5:$B$193, 0)) =$B$4, INDEX('NZS O&amp;G and CA100'!$E$5:$N$193, MATCH($A150, 'NZS O&amp;G and CA100'!$B$5:$B$193, 0),MATCH(L$3, 'NZS O&amp;G and CA100'!$E$3:$N$3, 0)),"")</f>
        <v>0</v>
      </c>
      <c r="M150" s="312">
        <f>IF(INDEX('NZS O&amp;G and CA100'!$D$5:$D$193, MATCH($A150, 'NZS O&amp;G and CA100'!$B$5:$B$193, 0)) =$B$4, INDEX('NZS O&amp;G and CA100'!$E$5:$N$193, MATCH($A150, 'NZS O&amp;G and CA100'!$B$5:$B$193, 0),MATCH(M$3, 'NZS O&amp;G and CA100'!$E$3:$N$3, 0)),"")</f>
        <v>0</v>
      </c>
      <c r="O150" s="55"/>
      <c r="P150" s="56"/>
      <c r="Q150" s="56"/>
      <c r="R150" s="56"/>
      <c r="S150" s="56"/>
      <c r="T150" s="56"/>
      <c r="U150" s="56"/>
      <c r="V150" s="56"/>
      <c r="W150" s="56"/>
      <c r="X150" s="57"/>
      <c r="Z150" s="55"/>
      <c r="AA150" s="56"/>
      <c r="AB150" s="56"/>
      <c r="AC150" s="56"/>
      <c r="AD150" s="56"/>
      <c r="AE150" s="56"/>
      <c r="AF150" s="56"/>
      <c r="AG150" s="56"/>
      <c r="AH150" s="56"/>
      <c r="AI150" s="57"/>
      <c r="AK150" s="49"/>
      <c r="AL150" s="49"/>
      <c r="AM150" s="49"/>
      <c r="AN150" s="49"/>
      <c r="AO150" s="49"/>
      <c r="AP150" s="50"/>
      <c r="AQ150" s="50"/>
      <c r="AR150" s="50"/>
      <c r="AS150" s="50"/>
      <c r="AT150" s="50"/>
      <c r="AU150" s="50"/>
      <c r="AV150" s="50"/>
      <c r="AW150" s="50"/>
      <c r="AX150" s="50"/>
      <c r="AY150" s="50"/>
      <c r="AZ150" s="50"/>
      <c r="BA150" s="50"/>
      <c r="BB150" s="50"/>
      <c r="BC150" s="50"/>
      <c r="BD150" s="50"/>
      <c r="BE150" s="50"/>
      <c r="BF150" s="50"/>
      <c r="BG150" s="50"/>
      <c r="BH150" s="50"/>
      <c r="BI150" s="50"/>
      <c r="BJ150" s="50"/>
      <c r="BK150" s="50"/>
      <c r="BL150" s="50"/>
      <c r="BM150" s="50"/>
      <c r="BN150" s="50"/>
      <c r="BO150" s="50"/>
      <c r="BP150" s="50"/>
      <c r="BQ150" s="50"/>
      <c r="BR150" s="50"/>
      <c r="BS150" s="50"/>
      <c r="BT150" s="50"/>
      <c r="BU150" s="50"/>
      <c r="BV150" s="50"/>
      <c r="BW150" s="50"/>
      <c r="BX150" s="50"/>
      <c r="BY150" s="50"/>
      <c r="BZ150" s="50"/>
      <c r="CA150" s="50"/>
      <c r="CB150" s="50"/>
      <c r="CC150" s="50"/>
      <c r="CD150" s="50"/>
      <c r="CE150" s="50"/>
      <c r="CF150" s="50"/>
      <c r="CG150" s="50"/>
      <c r="CH150" s="50"/>
      <c r="CI150" s="50"/>
      <c r="CJ150" s="50"/>
      <c r="CK150" s="50"/>
      <c r="CL150" s="50"/>
      <c r="CM150" s="50"/>
      <c r="CN150" s="50"/>
      <c r="CO150" s="50"/>
      <c r="CP150" s="50"/>
      <c r="CQ150" s="50"/>
      <c r="CR150" s="50"/>
      <c r="CS150" s="50"/>
      <c r="CT150" s="50"/>
      <c r="CU150" s="50"/>
      <c r="CV150" s="50"/>
      <c r="CW150" s="50"/>
      <c r="CX150" s="50"/>
      <c r="CY150" s="50"/>
      <c r="CZ150" s="50"/>
      <c r="DA150" s="50"/>
      <c r="DB150" s="50"/>
      <c r="DC150" s="50"/>
      <c r="DD150" s="50"/>
    </row>
    <row r="151" spans="1:108" s="1" customFormat="1" ht="6.65" customHeight="1" outlineLevel="1">
      <c r="A151" s="302"/>
      <c r="B151" s="231"/>
      <c r="C151" s="232"/>
      <c r="D151" s="55"/>
      <c r="E151" s="56"/>
      <c r="F151" s="56"/>
      <c r="G151" s="56"/>
      <c r="H151" s="56"/>
      <c r="I151" s="56"/>
      <c r="J151" s="56"/>
      <c r="K151" s="56"/>
      <c r="L151" s="56"/>
      <c r="M151" s="57"/>
      <c r="O151" s="55"/>
      <c r="P151" s="56"/>
      <c r="Q151" s="56"/>
      <c r="R151" s="56"/>
      <c r="S151" s="56"/>
      <c r="T151" s="56"/>
      <c r="U151" s="56"/>
      <c r="V151" s="56"/>
      <c r="W151" s="56"/>
      <c r="X151" s="57"/>
      <c r="Z151" s="55"/>
      <c r="AA151" s="56"/>
      <c r="AB151" s="56"/>
      <c r="AC151" s="56"/>
      <c r="AD151" s="56"/>
      <c r="AE151" s="56"/>
      <c r="AF151" s="56"/>
      <c r="AG151" s="56"/>
      <c r="AH151" s="56"/>
      <c r="AI151" s="57"/>
      <c r="AK151" s="49"/>
      <c r="AL151" s="49"/>
      <c r="AM151" s="49"/>
      <c r="AN151" s="49"/>
      <c r="AO151" s="49"/>
      <c r="AP151" s="50"/>
      <c r="AQ151" s="50"/>
      <c r="AR151" s="50"/>
      <c r="AS151" s="50"/>
      <c r="AT151" s="50"/>
      <c r="AU151" s="50"/>
      <c r="AV151" s="50"/>
      <c r="AW151" s="50"/>
      <c r="AX151" s="50"/>
      <c r="AY151" s="50"/>
      <c r="AZ151" s="50"/>
      <c r="BA151" s="50"/>
      <c r="BB151" s="50"/>
      <c r="BC151" s="50"/>
      <c r="BD151" s="50"/>
      <c r="BE151" s="50"/>
      <c r="BF151" s="50"/>
      <c r="BG151" s="50"/>
      <c r="BH151" s="50"/>
      <c r="BI151" s="50"/>
      <c r="BJ151" s="50"/>
      <c r="BK151" s="50"/>
      <c r="BL151" s="50"/>
      <c r="BM151" s="50"/>
      <c r="BN151" s="50"/>
      <c r="BO151" s="50"/>
      <c r="BP151" s="50"/>
      <c r="BQ151" s="50"/>
      <c r="BR151" s="50"/>
      <c r="BS151" s="50"/>
      <c r="BT151" s="50"/>
      <c r="BU151" s="50"/>
      <c r="BV151" s="50"/>
      <c r="BW151" s="50"/>
      <c r="BX151" s="50"/>
      <c r="BY151" s="50"/>
      <c r="BZ151" s="50"/>
      <c r="CA151" s="50"/>
      <c r="CB151" s="50"/>
      <c r="CC151" s="50"/>
      <c r="CD151" s="50"/>
      <c r="CE151" s="50"/>
      <c r="CF151" s="50"/>
      <c r="CG151" s="50"/>
      <c r="CH151" s="50"/>
      <c r="CI151" s="50"/>
      <c r="CJ151" s="50"/>
      <c r="CK151" s="50"/>
      <c r="CL151" s="50"/>
      <c r="CM151" s="50"/>
      <c r="CN151" s="50"/>
      <c r="CO151" s="50"/>
      <c r="CP151" s="50"/>
      <c r="CQ151" s="50"/>
      <c r="CR151" s="50"/>
      <c r="CS151" s="50"/>
      <c r="CT151" s="50"/>
      <c r="CU151" s="50"/>
      <c r="CV151" s="50"/>
      <c r="CW151" s="50"/>
      <c r="CX151" s="50"/>
      <c r="CY151" s="50"/>
      <c r="CZ151" s="50"/>
      <c r="DA151" s="50"/>
      <c r="DB151" s="50"/>
      <c r="DC151" s="50"/>
      <c r="DD151" s="50"/>
    </row>
    <row r="152" spans="1:108" s="1" customFormat="1" ht="18.649999999999999" customHeight="1" thickBot="1">
      <c r="A152" s="302"/>
      <c r="B152" s="229" t="s">
        <v>81</v>
      </c>
      <c r="C152" s="230"/>
      <c r="D152" s="58"/>
      <c r="E152" s="59"/>
      <c r="F152" s="59"/>
      <c r="G152" s="59"/>
      <c r="H152" s="59"/>
      <c r="I152" s="59"/>
      <c r="J152" s="59"/>
      <c r="K152" s="59"/>
      <c r="L152" s="59"/>
      <c r="M152" s="60"/>
      <c r="O152" s="58"/>
      <c r="P152" s="59"/>
      <c r="Q152" s="59"/>
      <c r="R152" s="59"/>
      <c r="S152" s="59"/>
      <c r="T152" s="59"/>
      <c r="U152" s="59"/>
      <c r="V152" s="59"/>
      <c r="W152" s="59"/>
      <c r="X152" s="60"/>
      <c r="Z152" s="58"/>
      <c r="AA152" s="59"/>
      <c r="AB152" s="59"/>
      <c r="AC152" s="59"/>
      <c r="AD152" s="59"/>
      <c r="AE152" s="59"/>
      <c r="AF152" s="59"/>
      <c r="AG152" s="59"/>
      <c r="AH152" s="59"/>
      <c r="AI152" s="60"/>
      <c r="AK152" s="49"/>
      <c r="AL152" s="49"/>
      <c r="AM152" s="49"/>
      <c r="AN152" s="49"/>
      <c r="AO152" s="49"/>
      <c r="AP152" s="50"/>
      <c r="AQ152" s="50"/>
      <c r="AR152" s="50"/>
      <c r="AS152" s="50"/>
      <c r="AT152" s="50"/>
      <c r="AU152" s="50"/>
      <c r="AV152" s="50"/>
      <c r="AW152" s="50"/>
      <c r="AX152" s="50"/>
      <c r="AY152" s="50"/>
      <c r="AZ152" s="50"/>
      <c r="BA152" s="50"/>
      <c r="BB152" s="50"/>
      <c r="BC152" s="50"/>
      <c r="BD152" s="50"/>
      <c r="BE152" s="50"/>
      <c r="BF152" s="50"/>
      <c r="BG152" s="50"/>
      <c r="BH152" s="50"/>
      <c r="BI152" s="50"/>
      <c r="BJ152" s="50"/>
      <c r="BK152" s="50"/>
      <c r="BL152" s="50"/>
      <c r="BM152" s="50"/>
      <c r="BN152" s="50"/>
      <c r="BO152" s="50"/>
      <c r="BP152" s="50"/>
      <c r="BQ152" s="50"/>
      <c r="BR152" s="50"/>
      <c r="BS152" s="50"/>
      <c r="BT152" s="50"/>
      <c r="BU152" s="50"/>
      <c r="BV152" s="50"/>
      <c r="BW152" s="50"/>
      <c r="BX152" s="50"/>
      <c r="BY152" s="50"/>
      <c r="BZ152" s="50"/>
      <c r="CA152" s="50"/>
      <c r="CB152" s="50"/>
      <c r="CC152" s="50"/>
      <c r="CD152" s="50"/>
      <c r="CE152" s="50"/>
      <c r="CF152" s="50"/>
      <c r="CG152" s="50"/>
      <c r="CH152" s="50"/>
      <c r="CI152" s="50"/>
      <c r="CJ152" s="50"/>
      <c r="CK152" s="50"/>
      <c r="CL152" s="50"/>
      <c r="CM152" s="50"/>
      <c r="CN152" s="50"/>
      <c r="CO152" s="50"/>
      <c r="CP152" s="50"/>
      <c r="CQ152" s="50"/>
      <c r="CR152" s="50"/>
      <c r="CS152" s="50"/>
      <c r="CT152" s="50"/>
      <c r="CU152" s="50"/>
      <c r="CV152" s="50"/>
      <c r="CW152" s="50"/>
      <c r="CX152" s="50"/>
      <c r="CY152" s="50"/>
      <c r="CZ152" s="50"/>
      <c r="DA152" s="50"/>
      <c r="DB152" s="50"/>
      <c r="DC152" s="50"/>
      <c r="DD152" s="50"/>
    </row>
    <row r="153" spans="1:108" s="1" customFormat="1" ht="18.649999999999999" customHeight="1">
      <c r="A153" s="302"/>
      <c r="B153" s="231"/>
      <c r="C153" s="232"/>
      <c r="D153" s="55"/>
      <c r="E153" s="56"/>
      <c r="F153" s="56"/>
      <c r="G153" s="56"/>
      <c r="H153" s="56"/>
      <c r="I153" s="56"/>
      <c r="J153" s="56"/>
      <c r="K153" s="56"/>
      <c r="L153" s="56"/>
      <c r="M153" s="57"/>
      <c r="O153" s="61"/>
      <c r="P153" s="62"/>
      <c r="Q153" s="62"/>
      <c r="R153" s="62"/>
      <c r="S153" s="62"/>
      <c r="T153" s="62"/>
      <c r="U153" s="62"/>
      <c r="V153" s="62"/>
      <c r="W153" s="62"/>
      <c r="X153" s="63"/>
      <c r="Z153" s="61"/>
      <c r="AA153" s="62"/>
      <c r="AB153" s="62"/>
      <c r="AC153" s="62"/>
      <c r="AD153" s="62"/>
      <c r="AE153" s="62"/>
      <c r="AF153" s="62"/>
      <c r="AG153" s="62"/>
      <c r="AH153" s="62"/>
      <c r="AI153" s="63"/>
      <c r="AK153" s="49"/>
      <c r="AL153" s="49"/>
      <c r="AM153" s="49"/>
      <c r="AN153" s="49"/>
      <c r="AO153" s="49"/>
      <c r="AP153" s="50"/>
      <c r="AQ153" s="50"/>
      <c r="AR153" s="50"/>
      <c r="AS153" s="50"/>
      <c r="AT153" s="50"/>
      <c r="AU153" s="50"/>
      <c r="AV153" s="50"/>
      <c r="AW153" s="50"/>
      <c r="AX153" s="50"/>
      <c r="AY153" s="50"/>
      <c r="AZ153" s="50"/>
      <c r="BA153" s="50"/>
      <c r="BB153" s="50"/>
      <c r="BC153" s="50"/>
      <c r="BD153" s="50"/>
      <c r="BE153" s="50"/>
      <c r="BF153" s="50"/>
      <c r="BG153" s="50"/>
      <c r="BH153" s="50"/>
      <c r="BI153" s="50"/>
      <c r="BJ153" s="50"/>
      <c r="BK153" s="50"/>
      <c r="BL153" s="50"/>
      <c r="BM153" s="50"/>
      <c r="BN153" s="50"/>
      <c r="BO153" s="50"/>
      <c r="BP153" s="50"/>
      <c r="BQ153" s="50"/>
      <c r="BR153" s="50"/>
      <c r="BS153" s="50"/>
      <c r="BT153" s="50"/>
      <c r="BU153" s="50"/>
      <c r="BV153" s="50"/>
      <c r="BW153" s="50"/>
      <c r="BX153" s="50"/>
      <c r="BY153" s="50"/>
      <c r="BZ153" s="50"/>
      <c r="CA153" s="50"/>
      <c r="CB153" s="50"/>
      <c r="CC153" s="50"/>
      <c r="CD153" s="50"/>
      <c r="CE153" s="50"/>
      <c r="CF153" s="50"/>
      <c r="CG153" s="50"/>
      <c r="CH153" s="50"/>
      <c r="CI153" s="50"/>
      <c r="CJ153" s="50"/>
      <c r="CK153" s="50"/>
      <c r="CL153" s="50"/>
      <c r="CM153" s="50"/>
      <c r="CN153" s="50"/>
      <c r="CO153" s="50"/>
      <c r="CP153" s="50"/>
      <c r="CQ153" s="50"/>
      <c r="CR153" s="50"/>
      <c r="CS153" s="50"/>
      <c r="CT153" s="50"/>
      <c r="CU153" s="50"/>
      <c r="CV153" s="50"/>
      <c r="CW153" s="50"/>
      <c r="CX153" s="50"/>
      <c r="CY153" s="50"/>
      <c r="CZ153" s="50"/>
      <c r="DA153" s="50"/>
      <c r="DB153" s="50"/>
      <c r="DC153" s="50"/>
      <c r="DD153" s="50"/>
    </row>
    <row r="154" spans="1:108" s="1" customFormat="1" ht="20.149999999999999" customHeight="1">
      <c r="A154" s="302">
        <v>8</v>
      </c>
      <c r="B154" s="376" t="s">
        <v>205</v>
      </c>
      <c r="C154" s="377"/>
      <c r="D154" s="307">
        <f>IF($B$4="Disclosure",(SUM(D155,D158,D161)/COUNT(D155,D158,D161)),"")</f>
        <v>1</v>
      </c>
      <c r="E154" s="308">
        <f t="shared" ref="E154:M154" si="38">IF($B$4="Disclosure",(SUM(E155,E158,E161)/COUNT(E155,E158,E161)),"")</f>
        <v>0.5</v>
      </c>
      <c r="F154" s="308">
        <f t="shared" si="38"/>
        <v>0.16666666666666666</v>
      </c>
      <c r="G154" s="308">
        <f t="shared" si="38"/>
        <v>0.66666666666666663</v>
      </c>
      <c r="H154" s="308">
        <f t="shared" si="38"/>
        <v>0.66666666666666663</v>
      </c>
      <c r="I154" s="308">
        <f t="shared" si="38"/>
        <v>0.5</v>
      </c>
      <c r="J154" s="308">
        <f t="shared" si="38"/>
        <v>0.66666666666666663</v>
      </c>
      <c r="K154" s="308">
        <f t="shared" si="38"/>
        <v>0.66666666666666663</v>
      </c>
      <c r="L154" s="308">
        <f t="shared" si="38"/>
        <v>0.33333333333333331</v>
      </c>
      <c r="M154" s="309">
        <f t="shared" si="38"/>
        <v>1</v>
      </c>
      <c r="O154" s="55"/>
      <c r="P154" s="56"/>
      <c r="Q154" s="56"/>
      <c r="R154" s="56"/>
      <c r="S154" s="56"/>
      <c r="T154" s="56"/>
      <c r="U154" s="56"/>
      <c r="V154" s="56"/>
      <c r="W154" s="56"/>
      <c r="X154" s="57"/>
      <c r="Z154" s="55"/>
      <c r="AA154" s="56"/>
      <c r="AB154" s="56"/>
      <c r="AC154" s="56"/>
      <c r="AD154" s="56"/>
      <c r="AE154" s="56"/>
      <c r="AF154" s="56"/>
      <c r="AG154" s="56"/>
      <c r="AH154" s="56"/>
      <c r="AI154" s="57"/>
      <c r="AK154" s="49"/>
      <c r="AL154" s="49"/>
      <c r="AM154" s="49"/>
      <c r="AN154" s="49"/>
      <c r="AO154" s="49"/>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50"/>
      <c r="BZ154" s="50"/>
      <c r="CA154" s="50"/>
      <c r="CB154" s="50"/>
      <c r="CC154" s="50"/>
      <c r="CD154" s="50"/>
      <c r="CE154" s="50"/>
      <c r="CF154" s="50"/>
      <c r="CG154" s="50"/>
      <c r="CH154" s="50"/>
      <c r="CI154" s="50"/>
      <c r="CJ154" s="50"/>
      <c r="CK154" s="50"/>
      <c r="CL154" s="50"/>
      <c r="CM154" s="50"/>
      <c r="CN154" s="50"/>
      <c r="CO154" s="50"/>
      <c r="CP154" s="50"/>
      <c r="CQ154" s="50"/>
      <c r="CR154" s="50"/>
      <c r="CS154" s="50"/>
      <c r="CT154" s="50"/>
      <c r="CU154" s="50"/>
      <c r="CV154" s="50"/>
      <c r="CW154" s="50"/>
      <c r="CX154" s="50"/>
      <c r="CY154" s="50"/>
      <c r="CZ154" s="50"/>
      <c r="DA154" s="50"/>
      <c r="DB154" s="50"/>
      <c r="DC154" s="50"/>
      <c r="DD154" s="50"/>
    </row>
    <row r="155" spans="1:108" s="1" customFormat="1" ht="20.149999999999999" customHeight="1" outlineLevel="1">
      <c r="A155" s="302">
        <v>8.1</v>
      </c>
      <c r="B155" s="226" t="s">
        <v>206</v>
      </c>
      <c r="C155" s="227" t="str">
        <f>VLOOKUP(A155, 'NZS O&amp;G and CA100'!$B$7:$D$194, 3, FALSE)</f>
        <v>Disclosure</v>
      </c>
      <c r="D155" s="310">
        <f>IF($B$4="Disclosure",(SUM(D156:D157)/COUNT(D156:D157)),"")</f>
        <v>1</v>
      </c>
      <c r="E155" s="311">
        <f t="shared" ref="E155:M155" si="39">IF($B$4="Disclosure",(SUM(E156:E157)/COUNT(E156:E157)),"")</f>
        <v>0.5</v>
      </c>
      <c r="F155" s="311">
        <f t="shared" si="39"/>
        <v>0.5</v>
      </c>
      <c r="G155" s="311">
        <f t="shared" si="39"/>
        <v>1</v>
      </c>
      <c r="H155" s="311">
        <f t="shared" si="39"/>
        <v>0.5</v>
      </c>
      <c r="I155" s="311">
        <f t="shared" si="39"/>
        <v>1</v>
      </c>
      <c r="J155" s="311">
        <f t="shared" si="39"/>
        <v>1</v>
      </c>
      <c r="K155" s="311">
        <f t="shared" si="39"/>
        <v>1</v>
      </c>
      <c r="L155" s="311">
        <f t="shared" si="39"/>
        <v>0.5</v>
      </c>
      <c r="M155" s="312">
        <f t="shared" si="39"/>
        <v>1</v>
      </c>
      <c r="O155" s="55"/>
      <c r="P155" s="56"/>
      <c r="Q155" s="56"/>
      <c r="R155" s="56"/>
      <c r="S155" s="56"/>
      <c r="T155" s="56"/>
      <c r="U155" s="56"/>
      <c r="V155" s="56"/>
      <c r="W155" s="56"/>
      <c r="X155" s="57"/>
      <c r="Z155" s="55"/>
      <c r="AA155" s="56"/>
      <c r="AB155" s="56"/>
      <c r="AC155" s="56"/>
      <c r="AD155" s="56"/>
      <c r="AE155" s="56"/>
      <c r="AF155" s="56"/>
      <c r="AG155" s="56"/>
      <c r="AH155" s="56"/>
      <c r="AI155" s="57"/>
      <c r="AK155" s="49"/>
      <c r="AL155" s="49"/>
      <c r="AM155" s="49"/>
      <c r="AN155" s="49"/>
      <c r="AO155" s="49"/>
      <c r="AP155" s="50"/>
      <c r="AQ155" s="50"/>
      <c r="AR155" s="50"/>
      <c r="AS155" s="50"/>
      <c r="AT155" s="50"/>
      <c r="AU155" s="50"/>
      <c r="AV155" s="50"/>
      <c r="AW155" s="50"/>
      <c r="AX155" s="50"/>
      <c r="AY155" s="50"/>
      <c r="AZ155" s="50"/>
      <c r="BA155" s="50"/>
      <c r="BB155" s="50"/>
      <c r="BC155" s="50"/>
      <c r="BD155" s="50"/>
      <c r="BE155" s="50"/>
      <c r="BF155" s="50"/>
      <c r="BG155" s="50"/>
      <c r="BH155" s="50"/>
      <c r="BI155" s="50"/>
      <c r="BJ155" s="50"/>
      <c r="BK155" s="50"/>
      <c r="BL155" s="50"/>
      <c r="BM155" s="50"/>
      <c r="BN155" s="50"/>
      <c r="BO155" s="50"/>
      <c r="BP155" s="50"/>
      <c r="BQ155" s="50"/>
      <c r="BR155" s="50"/>
      <c r="BS155" s="50"/>
      <c r="BT155" s="50"/>
      <c r="BU155" s="50"/>
      <c r="BV155" s="50"/>
      <c r="BW155" s="50"/>
      <c r="BX155" s="50"/>
      <c r="BY155" s="50"/>
      <c r="BZ155" s="50"/>
      <c r="CA155" s="50"/>
      <c r="CB155" s="50"/>
      <c r="CC155" s="50"/>
      <c r="CD155" s="50"/>
      <c r="CE155" s="50"/>
      <c r="CF155" s="50"/>
      <c r="CG155" s="50"/>
      <c r="CH155" s="50"/>
      <c r="CI155" s="50"/>
      <c r="CJ155" s="50"/>
      <c r="CK155" s="50"/>
      <c r="CL155" s="50"/>
      <c r="CM155" s="50"/>
      <c r="CN155" s="50"/>
      <c r="CO155" s="50"/>
      <c r="CP155" s="50"/>
      <c r="CQ155" s="50"/>
      <c r="CR155" s="50"/>
      <c r="CS155" s="50"/>
      <c r="CT155" s="50"/>
      <c r="CU155" s="50"/>
      <c r="CV155" s="50"/>
      <c r="CW155" s="50"/>
      <c r="CX155" s="50"/>
      <c r="CY155" s="50"/>
      <c r="CZ155" s="50"/>
      <c r="DA155" s="50"/>
      <c r="DB155" s="50"/>
      <c r="DC155" s="50"/>
      <c r="DD155" s="50"/>
    </row>
    <row r="156" spans="1:108" s="1" customFormat="1" ht="20.149999999999999" customHeight="1" outlineLevel="2">
      <c r="A156" s="302" t="s">
        <v>377</v>
      </c>
      <c r="B156" s="228" t="s">
        <v>207</v>
      </c>
      <c r="C156" s="227" t="str">
        <f>VLOOKUP(A156, 'NZS O&amp;G and CA100'!$B$7:$D$194, 3, FALSE)</f>
        <v>Disclosure</v>
      </c>
      <c r="D156" s="310">
        <f>IF(INDEX('NZS O&amp;G and CA100'!$D$5:$D$193, MATCH($A156, 'NZS O&amp;G and CA100'!$B$5:$B$193, 0)) =$B$4, INDEX('NZS O&amp;G and CA100'!$E$5:$N$193, MATCH($A156, 'NZS O&amp;G and CA100'!$B$5:$B$193, 0),MATCH(D$3, 'NZS O&amp;G and CA100'!$E$3:$N$3, 0)),"")</f>
        <v>1</v>
      </c>
      <c r="E156" s="311">
        <f>IF(INDEX('NZS O&amp;G and CA100'!$D$5:$D$193, MATCH($A156, 'NZS O&amp;G and CA100'!$B$5:$B$193, 0)) =$B$4, INDEX('NZS O&amp;G and CA100'!$E$5:$N$193, MATCH($A156, 'NZS O&amp;G and CA100'!$B$5:$B$193, 0),MATCH(E$3, 'NZS O&amp;G and CA100'!$E$3:$N$3, 0)),"")</f>
        <v>1</v>
      </c>
      <c r="F156" s="311">
        <f>IF(INDEX('NZS O&amp;G and CA100'!$D$5:$D$193, MATCH($A156, 'NZS O&amp;G and CA100'!$B$5:$B$193, 0)) =$B$4, INDEX('NZS O&amp;G and CA100'!$E$5:$N$193, MATCH($A156, 'NZS O&amp;G and CA100'!$B$5:$B$193, 0),MATCH(F$3, 'NZS O&amp;G and CA100'!$E$3:$N$3, 0)),"")</f>
        <v>1</v>
      </c>
      <c r="G156" s="311">
        <f>IF(INDEX('NZS O&amp;G and CA100'!$D$5:$D$193, MATCH($A156, 'NZS O&amp;G and CA100'!$B$5:$B$193, 0)) =$B$4, INDEX('NZS O&amp;G and CA100'!$E$5:$N$193, MATCH($A156, 'NZS O&amp;G and CA100'!$B$5:$B$193, 0),MATCH(G$3, 'NZS O&amp;G and CA100'!$E$3:$N$3, 0)),"")</f>
        <v>1</v>
      </c>
      <c r="H156" s="311">
        <f>IF(INDEX('NZS O&amp;G and CA100'!$D$5:$D$193, MATCH($A156, 'NZS O&amp;G and CA100'!$B$5:$B$193, 0)) =$B$4, INDEX('NZS O&amp;G and CA100'!$E$5:$N$193, MATCH($A156, 'NZS O&amp;G and CA100'!$B$5:$B$193, 0),MATCH(H$3, 'NZS O&amp;G and CA100'!$E$3:$N$3, 0)),"")</f>
        <v>1</v>
      </c>
      <c r="I156" s="311">
        <f>IF(INDEX('NZS O&amp;G and CA100'!$D$5:$D$193, MATCH($A156, 'NZS O&amp;G and CA100'!$B$5:$B$193, 0)) =$B$4, INDEX('NZS O&amp;G and CA100'!$E$5:$N$193, MATCH($A156, 'NZS O&amp;G and CA100'!$B$5:$B$193, 0),MATCH(I$3, 'NZS O&amp;G and CA100'!$E$3:$N$3, 0)),"")</f>
        <v>1</v>
      </c>
      <c r="J156" s="311">
        <f>IF(INDEX('NZS O&amp;G and CA100'!$D$5:$D$193, MATCH($A156, 'NZS O&amp;G and CA100'!$B$5:$B$193, 0)) =$B$4, INDEX('NZS O&amp;G and CA100'!$E$5:$N$193, MATCH($A156, 'NZS O&amp;G and CA100'!$B$5:$B$193, 0),MATCH(J$3, 'NZS O&amp;G and CA100'!$E$3:$N$3, 0)),"")</f>
        <v>1</v>
      </c>
      <c r="K156" s="311">
        <f>IF(INDEX('NZS O&amp;G and CA100'!$D$5:$D$193, MATCH($A156, 'NZS O&amp;G and CA100'!$B$5:$B$193, 0)) =$B$4, INDEX('NZS O&amp;G and CA100'!$E$5:$N$193, MATCH($A156, 'NZS O&amp;G and CA100'!$B$5:$B$193, 0),MATCH(K$3, 'NZS O&amp;G and CA100'!$E$3:$N$3, 0)),"")</f>
        <v>1</v>
      </c>
      <c r="L156" s="311">
        <f>IF(INDEX('NZS O&amp;G and CA100'!$D$5:$D$193, MATCH($A156, 'NZS O&amp;G and CA100'!$B$5:$B$193, 0)) =$B$4, INDEX('NZS O&amp;G and CA100'!$E$5:$N$193, MATCH($A156, 'NZS O&amp;G and CA100'!$B$5:$B$193, 0),MATCH(L$3, 'NZS O&amp;G and CA100'!$E$3:$N$3, 0)),"")</f>
        <v>1</v>
      </c>
      <c r="M156" s="312">
        <f>IF(INDEX('NZS O&amp;G and CA100'!$D$5:$D$193, MATCH($A156, 'NZS O&amp;G and CA100'!$B$5:$B$193, 0)) =$B$4, INDEX('NZS O&amp;G and CA100'!$E$5:$N$193, MATCH($A156, 'NZS O&amp;G and CA100'!$B$5:$B$193, 0),MATCH(M$3, 'NZS O&amp;G and CA100'!$E$3:$N$3, 0)),"")</f>
        <v>1</v>
      </c>
      <c r="O156" s="55"/>
      <c r="P156" s="56"/>
      <c r="Q156" s="56"/>
      <c r="R156" s="56"/>
      <c r="S156" s="56"/>
      <c r="T156" s="56"/>
      <c r="U156" s="56"/>
      <c r="V156" s="56"/>
      <c r="W156" s="56"/>
      <c r="X156" s="57"/>
      <c r="Z156" s="55"/>
      <c r="AA156" s="56"/>
      <c r="AB156" s="56"/>
      <c r="AC156" s="56"/>
      <c r="AD156" s="56"/>
      <c r="AE156" s="56"/>
      <c r="AF156" s="56"/>
      <c r="AG156" s="56"/>
      <c r="AH156" s="56"/>
      <c r="AI156" s="57"/>
      <c r="AK156" s="49"/>
      <c r="AL156" s="49"/>
      <c r="AM156" s="49"/>
      <c r="AN156" s="49"/>
      <c r="AO156" s="49"/>
      <c r="AP156" s="50"/>
      <c r="AQ156" s="50"/>
      <c r="AR156" s="50"/>
      <c r="AS156" s="50"/>
      <c r="AT156" s="50"/>
      <c r="AU156" s="50"/>
      <c r="AV156" s="50"/>
      <c r="AW156" s="50"/>
      <c r="AX156" s="50"/>
      <c r="AY156" s="50"/>
      <c r="AZ156" s="50"/>
      <c r="BA156" s="50"/>
      <c r="BB156" s="50"/>
      <c r="BC156" s="50"/>
      <c r="BD156" s="50"/>
      <c r="BE156" s="50"/>
      <c r="BF156" s="50"/>
      <c r="BG156" s="50"/>
      <c r="BH156" s="50"/>
      <c r="BI156" s="50"/>
      <c r="BJ156" s="50"/>
      <c r="BK156" s="50"/>
      <c r="BL156" s="50"/>
      <c r="BM156" s="50"/>
      <c r="BN156" s="50"/>
      <c r="BO156" s="50"/>
      <c r="BP156" s="50"/>
      <c r="BQ156" s="50"/>
      <c r="BR156" s="50"/>
      <c r="BS156" s="50"/>
      <c r="BT156" s="50"/>
      <c r="BU156" s="50"/>
      <c r="BV156" s="50"/>
      <c r="BW156" s="50"/>
      <c r="BX156" s="50"/>
      <c r="BY156" s="50"/>
      <c r="BZ156" s="50"/>
      <c r="CA156" s="50"/>
      <c r="CB156" s="50"/>
      <c r="CC156" s="50"/>
      <c r="CD156" s="50"/>
      <c r="CE156" s="50"/>
      <c r="CF156" s="50"/>
      <c r="CG156" s="50"/>
      <c r="CH156" s="50"/>
      <c r="CI156" s="50"/>
      <c r="CJ156" s="50"/>
      <c r="CK156" s="50"/>
      <c r="CL156" s="50"/>
      <c r="CM156" s="50"/>
      <c r="CN156" s="50"/>
      <c r="CO156" s="50"/>
      <c r="CP156" s="50"/>
      <c r="CQ156" s="50"/>
      <c r="CR156" s="50"/>
      <c r="CS156" s="50"/>
      <c r="CT156" s="50"/>
      <c r="CU156" s="50"/>
      <c r="CV156" s="50"/>
      <c r="CW156" s="50"/>
      <c r="CX156" s="50"/>
      <c r="CY156" s="50"/>
      <c r="CZ156" s="50"/>
      <c r="DA156" s="50"/>
      <c r="DB156" s="50"/>
      <c r="DC156" s="50"/>
      <c r="DD156" s="50"/>
    </row>
    <row r="157" spans="1:108" s="1" customFormat="1" ht="20.149999999999999" customHeight="1" outlineLevel="2">
      <c r="A157" s="302" t="s">
        <v>378</v>
      </c>
      <c r="B157" s="228" t="s">
        <v>208</v>
      </c>
      <c r="C157" s="227" t="str">
        <f>VLOOKUP(A157, 'NZS O&amp;G and CA100'!$B$7:$D$194, 3, FALSE)</f>
        <v>Disclosure</v>
      </c>
      <c r="D157" s="310">
        <f>IF(INDEX('NZS O&amp;G and CA100'!$D$5:$D$193, MATCH($A157, 'NZS O&amp;G and CA100'!$B$5:$B$193, 0)) =$B$4, INDEX('NZS O&amp;G and CA100'!$E$5:$N$193, MATCH($A157, 'NZS O&amp;G and CA100'!$B$5:$B$193, 0),MATCH(D$3, 'NZS O&amp;G and CA100'!$E$3:$N$3, 0)),"")</f>
        <v>1</v>
      </c>
      <c r="E157" s="311">
        <f>IF(INDEX('NZS O&amp;G and CA100'!$D$5:$D$193, MATCH($A157, 'NZS O&amp;G and CA100'!$B$5:$B$193, 0)) =$B$4, INDEX('NZS O&amp;G and CA100'!$E$5:$N$193, MATCH($A157, 'NZS O&amp;G and CA100'!$B$5:$B$193, 0),MATCH(E$3, 'NZS O&amp;G and CA100'!$E$3:$N$3, 0)),"")</f>
        <v>0</v>
      </c>
      <c r="F157" s="311">
        <f>IF(INDEX('NZS O&amp;G and CA100'!$D$5:$D$193, MATCH($A157, 'NZS O&amp;G and CA100'!$B$5:$B$193, 0)) =$B$4, INDEX('NZS O&amp;G and CA100'!$E$5:$N$193, MATCH($A157, 'NZS O&amp;G and CA100'!$B$5:$B$193, 0),MATCH(F$3, 'NZS O&amp;G and CA100'!$E$3:$N$3, 0)),"")</f>
        <v>0</v>
      </c>
      <c r="G157" s="311">
        <f>IF(INDEX('NZS O&amp;G and CA100'!$D$5:$D$193, MATCH($A157, 'NZS O&amp;G and CA100'!$B$5:$B$193, 0)) =$B$4, INDEX('NZS O&amp;G and CA100'!$E$5:$N$193, MATCH($A157, 'NZS O&amp;G and CA100'!$B$5:$B$193, 0),MATCH(G$3, 'NZS O&amp;G and CA100'!$E$3:$N$3, 0)),"")</f>
        <v>1</v>
      </c>
      <c r="H157" s="311">
        <f>IF(INDEX('NZS O&amp;G and CA100'!$D$5:$D$193, MATCH($A157, 'NZS O&amp;G and CA100'!$B$5:$B$193, 0)) =$B$4, INDEX('NZS O&amp;G and CA100'!$E$5:$N$193, MATCH($A157, 'NZS O&amp;G and CA100'!$B$5:$B$193, 0),MATCH(H$3, 'NZS O&amp;G and CA100'!$E$3:$N$3, 0)),"")</f>
        <v>0</v>
      </c>
      <c r="I157" s="311">
        <f>IF(INDEX('NZS O&amp;G and CA100'!$D$5:$D$193, MATCH($A157, 'NZS O&amp;G and CA100'!$B$5:$B$193, 0)) =$B$4, INDEX('NZS O&amp;G and CA100'!$E$5:$N$193, MATCH($A157, 'NZS O&amp;G and CA100'!$B$5:$B$193, 0),MATCH(I$3, 'NZS O&amp;G and CA100'!$E$3:$N$3, 0)),"")</f>
        <v>1</v>
      </c>
      <c r="J157" s="311">
        <f>IF(INDEX('NZS O&amp;G and CA100'!$D$5:$D$193, MATCH($A157, 'NZS O&amp;G and CA100'!$B$5:$B$193, 0)) =$B$4, INDEX('NZS O&amp;G and CA100'!$E$5:$N$193, MATCH($A157, 'NZS O&amp;G and CA100'!$B$5:$B$193, 0),MATCH(J$3, 'NZS O&amp;G and CA100'!$E$3:$N$3, 0)),"")</f>
        <v>1</v>
      </c>
      <c r="K157" s="311">
        <f>IF(INDEX('NZS O&amp;G and CA100'!$D$5:$D$193, MATCH($A157, 'NZS O&amp;G and CA100'!$B$5:$B$193, 0)) =$B$4, INDEX('NZS O&amp;G and CA100'!$E$5:$N$193, MATCH($A157, 'NZS O&amp;G and CA100'!$B$5:$B$193, 0),MATCH(K$3, 'NZS O&amp;G and CA100'!$E$3:$N$3, 0)),"")</f>
        <v>1</v>
      </c>
      <c r="L157" s="311">
        <f>IF(INDEX('NZS O&amp;G and CA100'!$D$5:$D$193, MATCH($A157, 'NZS O&amp;G and CA100'!$B$5:$B$193, 0)) =$B$4, INDEX('NZS O&amp;G and CA100'!$E$5:$N$193, MATCH($A157, 'NZS O&amp;G and CA100'!$B$5:$B$193, 0),MATCH(L$3, 'NZS O&amp;G and CA100'!$E$3:$N$3, 0)),"")</f>
        <v>0</v>
      </c>
      <c r="M157" s="312">
        <f>IF(INDEX('NZS O&amp;G and CA100'!$D$5:$D$193, MATCH($A157, 'NZS O&amp;G and CA100'!$B$5:$B$193, 0)) =$B$4, INDEX('NZS O&amp;G and CA100'!$E$5:$N$193, MATCH($A157, 'NZS O&amp;G and CA100'!$B$5:$B$193, 0),MATCH(M$3, 'NZS O&amp;G and CA100'!$E$3:$N$3, 0)),"")</f>
        <v>1</v>
      </c>
      <c r="O157" s="55"/>
      <c r="P157" s="56"/>
      <c r="Q157" s="56"/>
      <c r="R157" s="56"/>
      <c r="S157" s="56"/>
      <c r="T157" s="56"/>
      <c r="U157" s="56"/>
      <c r="V157" s="56"/>
      <c r="W157" s="56"/>
      <c r="X157" s="57"/>
      <c r="Z157" s="55"/>
      <c r="AA157" s="56"/>
      <c r="AB157" s="56"/>
      <c r="AC157" s="56"/>
      <c r="AD157" s="56"/>
      <c r="AE157" s="56"/>
      <c r="AF157" s="56"/>
      <c r="AG157" s="56"/>
      <c r="AH157" s="56"/>
      <c r="AI157" s="57"/>
      <c r="AK157" s="49"/>
      <c r="AL157" s="49"/>
      <c r="AM157" s="49"/>
      <c r="AN157" s="49"/>
      <c r="AO157" s="49"/>
      <c r="AP157" s="50"/>
      <c r="AQ157" s="50"/>
      <c r="AR157" s="50"/>
      <c r="AS157" s="50"/>
      <c r="AT157" s="50"/>
      <c r="AU157" s="50"/>
      <c r="AV157" s="50"/>
      <c r="AW157" s="50"/>
      <c r="AX157" s="50"/>
      <c r="AY157" s="50"/>
      <c r="AZ157" s="50"/>
      <c r="BA157" s="50"/>
      <c r="BB157" s="50"/>
      <c r="BC157" s="50"/>
      <c r="BD157" s="50"/>
      <c r="BE157" s="50"/>
      <c r="BF157" s="50"/>
      <c r="BG157" s="50"/>
      <c r="BH157" s="50"/>
      <c r="BI157" s="50"/>
      <c r="BJ157" s="50"/>
      <c r="BK157" s="50"/>
      <c r="BL157" s="50"/>
      <c r="BM157" s="50"/>
      <c r="BN157" s="50"/>
      <c r="BO157" s="50"/>
      <c r="BP157" s="50"/>
      <c r="BQ157" s="50"/>
      <c r="BR157" s="50"/>
      <c r="BS157" s="50"/>
      <c r="BT157" s="50"/>
      <c r="BU157" s="50"/>
      <c r="BV157" s="50"/>
      <c r="BW157" s="50"/>
      <c r="BX157" s="50"/>
      <c r="BY157" s="50"/>
      <c r="BZ157" s="50"/>
      <c r="CA157" s="50"/>
      <c r="CB157" s="50"/>
      <c r="CC157" s="50"/>
      <c r="CD157" s="50"/>
      <c r="CE157" s="50"/>
      <c r="CF157" s="50"/>
      <c r="CG157" s="50"/>
      <c r="CH157" s="50"/>
      <c r="CI157" s="50"/>
      <c r="CJ157" s="50"/>
      <c r="CK157" s="50"/>
      <c r="CL157" s="50"/>
      <c r="CM157" s="50"/>
      <c r="CN157" s="50"/>
      <c r="CO157" s="50"/>
      <c r="CP157" s="50"/>
      <c r="CQ157" s="50"/>
      <c r="CR157" s="50"/>
      <c r="CS157" s="50"/>
      <c r="CT157" s="50"/>
      <c r="CU157" s="50"/>
      <c r="CV157" s="50"/>
      <c r="CW157" s="50"/>
      <c r="CX157" s="50"/>
      <c r="CY157" s="50"/>
      <c r="CZ157" s="50"/>
      <c r="DA157" s="50"/>
      <c r="DB157" s="50"/>
      <c r="DC157" s="50"/>
      <c r="DD157" s="50"/>
    </row>
    <row r="158" spans="1:108" s="1" customFormat="1" ht="20.149999999999999" customHeight="1" outlineLevel="1">
      <c r="A158" s="302">
        <v>8.1999999999999993</v>
      </c>
      <c r="B158" s="226" t="s">
        <v>209</v>
      </c>
      <c r="C158" s="227" t="str">
        <f>VLOOKUP(A158, 'NZS O&amp;G and CA100'!$B$7:$D$194, 3, FALSE)</f>
        <v>Disclosure</v>
      </c>
      <c r="D158" s="310">
        <f>IF($B$4="Disclosure",(SUM(D159:D160)/COUNT(D159:D160)),"")</f>
        <v>1</v>
      </c>
      <c r="E158" s="311">
        <f t="shared" ref="E158:M158" si="40">IF($B$4="Disclosure",(SUM(E159:E160)/COUNT(E159:E160)),"")</f>
        <v>0.5</v>
      </c>
      <c r="F158" s="311">
        <f>IF($B$4="Disclosure",(SUM(F159:F160)/COUNT(F159:F160)),"")</f>
        <v>0</v>
      </c>
      <c r="G158" s="311">
        <f t="shared" si="40"/>
        <v>1</v>
      </c>
      <c r="H158" s="311">
        <f t="shared" si="40"/>
        <v>1</v>
      </c>
      <c r="I158" s="311">
        <f t="shared" si="40"/>
        <v>0.5</v>
      </c>
      <c r="J158" s="311">
        <f t="shared" si="40"/>
        <v>1</v>
      </c>
      <c r="K158" s="311">
        <f t="shared" si="40"/>
        <v>1</v>
      </c>
      <c r="L158" s="311">
        <f t="shared" si="40"/>
        <v>0</v>
      </c>
      <c r="M158" s="312">
        <f t="shared" si="40"/>
        <v>1</v>
      </c>
      <c r="O158" s="55"/>
      <c r="P158" s="56"/>
      <c r="Q158" s="56"/>
      <c r="R158" s="56"/>
      <c r="S158" s="56"/>
      <c r="T158" s="56"/>
      <c r="U158" s="56"/>
      <c r="V158" s="56"/>
      <c r="W158" s="56"/>
      <c r="X158" s="57"/>
      <c r="Z158" s="55"/>
      <c r="AA158" s="56"/>
      <c r="AB158" s="56"/>
      <c r="AC158" s="56"/>
      <c r="AD158" s="56"/>
      <c r="AE158" s="56"/>
      <c r="AF158" s="56"/>
      <c r="AG158" s="56"/>
      <c r="AH158" s="56"/>
      <c r="AI158" s="57"/>
      <c r="AK158" s="49"/>
      <c r="AL158" s="49"/>
      <c r="AM158" s="49"/>
      <c r="AN158" s="49"/>
      <c r="AO158" s="49"/>
      <c r="AP158" s="50"/>
      <c r="AQ158" s="50"/>
      <c r="AR158" s="50"/>
      <c r="AS158" s="50"/>
      <c r="AT158" s="50"/>
      <c r="AU158" s="50"/>
      <c r="AV158" s="50"/>
      <c r="AW158" s="50"/>
      <c r="AX158" s="50"/>
      <c r="AY158" s="50"/>
      <c r="AZ158" s="50"/>
      <c r="BA158" s="50"/>
      <c r="BB158" s="50"/>
      <c r="BC158" s="50"/>
      <c r="BD158" s="50"/>
      <c r="BE158" s="50"/>
      <c r="BF158" s="50"/>
      <c r="BG158" s="50"/>
      <c r="BH158" s="50"/>
      <c r="BI158" s="50"/>
      <c r="BJ158" s="50"/>
      <c r="BK158" s="50"/>
      <c r="BL158" s="50"/>
      <c r="BM158" s="50"/>
      <c r="BN158" s="50"/>
      <c r="BO158" s="50"/>
      <c r="BP158" s="50"/>
      <c r="BQ158" s="50"/>
      <c r="BR158" s="50"/>
      <c r="BS158" s="50"/>
      <c r="BT158" s="50"/>
      <c r="BU158" s="50"/>
      <c r="BV158" s="50"/>
      <c r="BW158" s="50"/>
      <c r="BX158" s="50"/>
      <c r="BY158" s="50"/>
      <c r="BZ158" s="50"/>
      <c r="CA158" s="50"/>
      <c r="CB158" s="50"/>
      <c r="CC158" s="50"/>
      <c r="CD158" s="50"/>
      <c r="CE158" s="50"/>
      <c r="CF158" s="50"/>
      <c r="CG158" s="50"/>
      <c r="CH158" s="50"/>
      <c r="CI158" s="50"/>
      <c r="CJ158" s="50"/>
      <c r="CK158" s="50"/>
      <c r="CL158" s="50"/>
      <c r="CM158" s="50"/>
      <c r="CN158" s="50"/>
      <c r="CO158" s="50"/>
      <c r="CP158" s="50"/>
      <c r="CQ158" s="50"/>
      <c r="CR158" s="50"/>
      <c r="CS158" s="50"/>
      <c r="CT158" s="50"/>
      <c r="CU158" s="50"/>
      <c r="CV158" s="50"/>
      <c r="CW158" s="50"/>
      <c r="CX158" s="50"/>
      <c r="CY158" s="50"/>
      <c r="CZ158" s="50"/>
      <c r="DA158" s="50"/>
      <c r="DB158" s="50"/>
      <c r="DC158" s="50"/>
      <c r="DD158" s="50"/>
    </row>
    <row r="159" spans="1:108" s="1" customFormat="1" ht="20.149999999999999" customHeight="1" outlineLevel="2">
      <c r="A159" s="302" t="s">
        <v>379</v>
      </c>
      <c r="B159" s="228" t="s">
        <v>210</v>
      </c>
      <c r="C159" s="227" t="str">
        <f>VLOOKUP(A159, 'NZS O&amp;G and CA100'!$B$7:$D$194, 3, FALSE)</f>
        <v>Disclosure</v>
      </c>
      <c r="D159" s="310">
        <f>IF(INDEX('NZS O&amp;G and CA100'!$D$5:$D$193, MATCH($A159, 'NZS O&amp;G and CA100'!$B$5:$B$193, 0)) =$B$4, INDEX('NZS O&amp;G and CA100'!$E$5:$N$193, MATCH($A159, 'NZS O&amp;G and CA100'!$B$5:$B$193, 0),MATCH(D$3, 'NZS O&amp;G and CA100'!$E$3:$N$3, 0)),"")</f>
        <v>1</v>
      </c>
      <c r="E159" s="311">
        <f>IF(INDEX('NZS O&amp;G and CA100'!$D$5:$D$193, MATCH($A159, 'NZS O&amp;G and CA100'!$B$5:$B$193, 0)) =$B$4, INDEX('NZS O&amp;G and CA100'!$E$5:$N$193, MATCH($A159, 'NZS O&amp;G and CA100'!$B$5:$B$193, 0),MATCH(E$3, 'NZS O&amp;G and CA100'!$E$3:$N$3, 0)),"")</f>
        <v>1</v>
      </c>
      <c r="F159" s="311">
        <f>IF(INDEX('NZS O&amp;G and CA100'!$D$5:$D$193, MATCH($A159, 'NZS O&amp;G and CA100'!$B$5:$B$193, 0)) =$B$4, INDEX('NZS O&amp;G and CA100'!$E$5:$N$193, MATCH($A159, 'NZS O&amp;G and CA100'!$B$5:$B$193, 0),MATCH(F$3, 'NZS O&amp;G and CA100'!$E$3:$N$3, 0)),"")</f>
        <v>0</v>
      </c>
      <c r="G159" s="311">
        <f>IF(INDEX('NZS O&amp;G and CA100'!$D$5:$D$193, MATCH($A159, 'NZS O&amp;G and CA100'!$B$5:$B$193, 0)) =$B$4, INDEX('NZS O&amp;G and CA100'!$E$5:$N$193, MATCH($A159, 'NZS O&amp;G and CA100'!$B$5:$B$193, 0),MATCH(G$3, 'NZS O&amp;G and CA100'!$E$3:$N$3, 0)),"")</f>
        <v>1</v>
      </c>
      <c r="H159" s="311">
        <f>IF(INDEX('NZS O&amp;G and CA100'!$D$5:$D$193, MATCH($A159, 'NZS O&amp;G and CA100'!$B$5:$B$193, 0)) =$B$4, INDEX('NZS O&amp;G and CA100'!$E$5:$N$193, MATCH($A159, 'NZS O&amp;G and CA100'!$B$5:$B$193, 0),MATCH(H$3, 'NZS O&amp;G and CA100'!$E$3:$N$3, 0)),"")</f>
        <v>1</v>
      </c>
      <c r="I159" s="311">
        <f>IF(INDEX('NZS O&amp;G and CA100'!$D$5:$D$193, MATCH($A159, 'NZS O&amp;G and CA100'!$B$5:$B$193, 0)) =$B$4, INDEX('NZS O&amp;G and CA100'!$E$5:$N$193, MATCH($A159, 'NZS O&amp;G and CA100'!$B$5:$B$193, 0),MATCH(I$3, 'NZS O&amp;G and CA100'!$E$3:$N$3, 0)),"")</f>
        <v>1</v>
      </c>
      <c r="J159" s="311">
        <f>IF(INDEX('NZS O&amp;G and CA100'!$D$5:$D$193, MATCH($A159, 'NZS O&amp;G and CA100'!$B$5:$B$193, 0)) =$B$4, INDEX('NZS O&amp;G and CA100'!$E$5:$N$193, MATCH($A159, 'NZS O&amp;G and CA100'!$B$5:$B$193, 0),MATCH(J$3, 'NZS O&amp;G and CA100'!$E$3:$N$3, 0)),"")</f>
        <v>1</v>
      </c>
      <c r="K159" s="311">
        <f>IF(INDEX('NZS O&amp;G and CA100'!$D$5:$D$193, MATCH($A159, 'NZS O&amp;G and CA100'!$B$5:$B$193, 0)) =$B$4, INDEX('NZS O&amp;G and CA100'!$E$5:$N$193, MATCH($A159, 'NZS O&amp;G and CA100'!$B$5:$B$193, 0),MATCH(K$3, 'NZS O&amp;G and CA100'!$E$3:$N$3, 0)),"")</f>
        <v>1</v>
      </c>
      <c r="L159" s="311">
        <f>IF(INDEX('NZS O&amp;G and CA100'!$D$5:$D$193, MATCH($A159, 'NZS O&amp;G and CA100'!$B$5:$B$193, 0)) =$B$4, INDEX('NZS O&amp;G and CA100'!$E$5:$N$193, MATCH($A159, 'NZS O&amp;G and CA100'!$B$5:$B$193, 0),MATCH(L$3, 'NZS O&amp;G and CA100'!$E$3:$N$3, 0)),"")</f>
        <v>0</v>
      </c>
      <c r="M159" s="312">
        <f>IF(INDEX('NZS O&amp;G and CA100'!$D$5:$D$193, MATCH($A159, 'NZS O&amp;G and CA100'!$B$5:$B$193, 0)) =$B$4, INDEX('NZS O&amp;G and CA100'!$E$5:$N$193, MATCH($A159, 'NZS O&amp;G and CA100'!$B$5:$B$193, 0),MATCH(M$3, 'NZS O&amp;G and CA100'!$E$3:$N$3, 0)),"")</f>
        <v>1</v>
      </c>
      <c r="O159" s="55"/>
      <c r="P159" s="56"/>
      <c r="Q159" s="56"/>
      <c r="R159" s="56"/>
      <c r="S159" s="56"/>
      <c r="T159" s="56"/>
      <c r="U159" s="56"/>
      <c r="V159" s="56"/>
      <c r="W159" s="56"/>
      <c r="X159" s="57"/>
      <c r="Z159" s="55"/>
      <c r="AA159" s="56"/>
      <c r="AB159" s="56"/>
      <c r="AC159" s="56"/>
      <c r="AD159" s="56"/>
      <c r="AE159" s="56"/>
      <c r="AF159" s="56"/>
      <c r="AG159" s="56"/>
      <c r="AH159" s="56"/>
      <c r="AI159" s="57"/>
      <c r="AK159" s="49"/>
      <c r="AL159" s="49"/>
      <c r="AM159" s="49"/>
      <c r="AN159" s="49"/>
      <c r="AO159" s="49"/>
      <c r="AP159" s="50"/>
      <c r="AQ159" s="50"/>
      <c r="AR159" s="50"/>
      <c r="AS159" s="50"/>
      <c r="AT159" s="50"/>
      <c r="AU159" s="50"/>
      <c r="AV159" s="50"/>
      <c r="AW159" s="50"/>
      <c r="AX159" s="50"/>
      <c r="AY159" s="50"/>
      <c r="AZ159" s="50"/>
      <c r="BA159" s="50"/>
      <c r="BB159" s="50"/>
      <c r="BC159" s="50"/>
      <c r="BD159" s="50"/>
      <c r="BE159" s="50"/>
      <c r="BF159" s="50"/>
      <c r="BG159" s="50"/>
      <c r="BH159" s="50"/>
      <c r="BI159" s="50"/>
      <c r="BJ159" s="50"/>
      <c r="BK159" s="50"/>
      <c r="BL159" s="50"/>
      <c r="BM159" s="50"/>
      <c r="BN159" s="50"/>
      <c r="BO159" s="50"/>
      <c r="BP159" s="50"/>
      <c r="BQ159" s="50"/>
      <c r="BR159" s="50"/>
      <c r="BS159" s="50"/>
      <c r="BT159" s="50"/>
      <c r="BU159" s="50"/>
      <c r="BV159" s="50"/>
      <c r="BW159" s="50"/>
      <c r="BX159" s="50"/>
      <c r="BY159" s="50"/>
      <c r="BZ159" s="50"/>
      <c r="CA159" s="50"/>
      <c r="CB159" s="50"/>
      <c r="CC159" s="50"/>
      <c r="CD159" s="50"/>
      <c r="CE159" s="50"/>
      <c r="CF159" s="50"/>
      <c r="CG159" s="50"/>
      <c r="CH159" s="50"/>
      <c r="CI159" s="50"/>
      <c r="CJ159" s="50"/>
      <c r="CK159" s="50"/>
      <c r="CL159" s="50"/>
      <c r="CM159" s="50"/>
      <c r="CN159" s="50"/>
      <c r="CO159" s="50"/>
      <c r="CP159" s="50"/>
      <c r="CQ159" s="50"/>
      <c r="CR159" s="50"/>
      <c r="CS159" s="50"/>
      <c r="CT159" s="50"/>
      <c r="CU159" s="50"/>
      <c r="CV159" s="50"/>
      <c r="CW159" s="50"/>
      <c r="CX159" s="50"/>
      <c r="CY159" s="50"/>
      <c r="CZ159" s="50"/>
      <c r="DA159" s="50"/>
      <c r="DB159" s="50"/>
      <c r="DC159" s="50"/>
      <c r="DD159" s="50"/>
    </row>
    <row r="160" spans="1:108" s="1" customFormat="1" ht="20.149999999999999" customHeight="1" outlineLevel="2">
      <c r="A160" s="302" t="s">
        <v>380</v>
      </c>
      <c r="B160" s="228" t="s">
        <v>211</v>
      </c>
      <c r="C160" s="227" t="str">
        <f>VLOOKUP(A160, 'NZS O&amp;G and CA100'!$B$7:$D$194, 3, FALSE)</f>
        <v>Disclosure</v>
      </c>
      <c r="D160" s="310">
        <f>IF(INDEX('NZS O&amp;G and CA100'!$D$5:$D$193, MATCH($A160, 'NZS O&amp;G and CA100'!$B$5:$B$193, 0)) =$B$4, INDEX('NZS O&amp;G and CA100'!$E$5:$N$193, MATCH($A160, 'NZS O&amp;G and CA100'!$B$5:$B$193, 0),MATCH(D$3, 'NZS O&amp;G and CA100'!$E$3:$N$3, 0)),"")</f>
        <v>1</v>
      </c>
      <c r="E160" s="311">
        <f>IF(INDEX('NZS O&amp;G and CA100'!$D$5:$D$193, MATCH($A160, 'NZS O&amp;G and CA100'!$B$5:$B$193, 0)) =$B$4, INDEX('NZS O&amp;G and CA100'!$E$5:$N$193, MATCH($A160, 'NZS O&amp;G and CA100'!$B$5:$B$193, 0),MATCH(E$3, 'NZS O&amp;G and CA100'!$E$3:$N$3, 0)),"")</f>
        <v>0</v>
      </c>
      <c r="F160" s="311">
        <f>IF(INDEX('NZS O&amp;G and CA100'!$D$5:$D$193, MATCH($A160, 'NZS O&amp;G and CA100'!$B$5:$B$193, 0)) =$B$4, INDEX('NZS O&amp;G and CA100'!$E$5:$N$193, MATCH($A160, 'NZS O&amp;G and CA100'!$B$5:$B$193, 0),MATCH(F$3, 'NZS O&amp;G and CA100'!$E$3:$N$3, 0)),"")</f>
        <v>0</v>
      </c>
      <c r="G160" s="311">
        <f>IF(INDEX('NZS O&amp;G and CA100'!$D$5:$D$193, MATCH($A160, 'NZS O&amp;G and CA100'!$B$5:$B$193, 0)) =$B$4, INDEX('NZS O&amp;G and CA100'!$E$5:$N$193, MATCH($A160, 'NZS O&amp;G and CA100'!$B$5:$B$193, 0),MATCH(G$3, 'NZS O&amp;G and CA100'!$E$3:$N$3, 0)),"")</f>
        <v>1</v>
      </c>
      <c r="H160" s="311">
        <f>IF(INDEX('NZS O&amp;G and CA100'!$D$5:$D$193, MATCH($A160, 'NZS O&amp;G and CA100'!$B$5:$B$193, 0)) =$B$4, INDEX('NZS O&amp;G and CA100'!$E$5:$N$193, MATCH($A160, 'NZS O&amp;G and CA100'!$B$5:$B$193, 0),MATCH(H$3, 'NZS O&amp;G and CA100'!$E$3:$N$3, 0)),"")</f>
        <v>1</v>
      </c>
      <c r="I160" s="311">
        <f>IF(INDEX('NZS O&amp;G and CA100'!$D$5:$D$193, MATCH($A160, 'NZS O&amp;G and CA100'!$B$5:$B$193, 0)) =$B$4, INDEX('NZS O&amp;G and CA100'!$E$5:$N$193, MATCH($A160, 'NZS O&amp;G and CA100'!$B$5:$B$193, 0),MATCH(I$3, 'NZS O&amp;G and CA100'!$E$3:$N$3, 0)),"")</f>
        <v>0</v>
      </c>
      <c r="J160" s="311">
        <f>IF(INDEX('NZS O&amp;G and CA100'!$D$5:$D$193, MATCH($A160, 'NZS O&amp;G and CA100'!$B$5:$B$193, 0)) =$B$4, INDEX('NZS O&amp;G and CA100'!$E$5:$N$193, MATCH($A160, 'NZS O&amp;G and CA100'!$B$5:$B$193, 0),MATCH(J$3, 'NZS O&amp;G and CA100'!$E$3:$N$3, 0)),"")</f>
        <v>1</v>
      </c>
      <c r="K160" s="311">
        <f>IF(INDEX('NZS O&amp;G and CA100'!$D$5:$D$193, MATCH($A160, 'NZS O&amp;G and CA100'!$B$5:$B$193, 0)) =$B$4, INDEX('NZS O&amp;G and CA100'!$E$5:$N$193, MATCH($A160, 'NZS O&amp;G and CA100'!$B$5:$B$193, 0),MATCH(K$3, 'NZS O&amp;G and CA100'!$E$3:$N$3, 0)),"")</f>
        <v>1</v>
      </c>
      <c r="L160" s="311">
        <f>IF(INDEX('NZS O&amp;G and CA100'!$D$5:$D$193, MATCH($A160, 'NZS O&amp;G and CA100'!$B$5:$B$193, 0)) =$B$4, INDEX('NZS O&amp;G and CA100'!$E$5:$N$193, MATCH($A160, 'NZS O&amp;G and CA100'!$B$5:$B$193, 0),MATCH(L$3, 'NZS O&amp;G and CA100'!$E$3:$N$3, 0)),"")</f>
        <v>0</v>
      </c>
      <c r="M160" s="312">
        <f>IF(INDEX('NZS O&amp;G and CA100'!$D$5:$D$193, MATCH($A160, 'NZS O&amp;G and CA100'!$B$5:$B$193, 0)) =$B$4, INDEX('NZS O&amp;G and CA100'!$E$5:$N$193, MATCH($A160, 'NZS O&amp;G and CA100'!$B$5:$B$193, 0),MATCH(M$3, 'NZS O&amp;G and CA100'!$E$3:$N$3, 0)),"")</f>
        <v>1</v>
      </c>
      <c r="O160" s="55"/>
      <c r="P160" s="56"/>
      <c r="Q160" s="56"/>
      <c r="R160" s="56"/>
      <c r="S160" s="56"/>
      <c r="T160" s="56"/>
      <c r="U160" s="56"/>
      <c r="V160" s="56"/>
      <c r="W160" s="56"/>
      <c r="X160" s="57"/>
      <c r="Z160" s="55"/>
      <c r="AA160" s="56"/>
      <c r="AB160" s="56"/>
      <c r="AC160" s="56"/>
      <c r="AD160" s="56"/>
      <c r="AE160" s="56"/>
      <c r="AF160" s="56"/>
      <c r="AG160" s="56"/>
      <c r="AH160" s="56"/>
      <c r="AI160" s="57"/>
      <c r="AK160" s="49"/>
      <c r="AL160" s="49"/>
      <c r="AM160" s="49"/>
      <c r="AN160" s="49"/>
      <c r="AO160" s="49"/>
      <c r="AP160" s="50"/>
      <c r="AQ160" s="50"/>
      <c r="AR160" s="50"/>
      <c r="AS160" s="50"/>
      <c r="AT160" s="50"/>
      <c r="AU160" s="50"/>
      <c r="AV160" s="50"/>
      <c r="AW160" s="50"/>
      <c r="AX160" s="50"/>
      <c r="AY160" s="50"/>
      <c r="AZ160" s="50"/>
      <c r="BA160" s="50"/>
      <c r="BB160" s="50"/>
      <c r="BC160" s="50"/>
      <c r="BD160" s="50"/>
      <c r="BE160" s="50"/>
      <c r="BF160" s="50"/>
      <c r="BG160" s="50"/>
      <c r="BH160" s="50"/>
      <c r="BI160" s="50"/>
      <c r="BJ160" s="50"/>
      <c r="BK160" s="50"/>
      <c r="BL160" s="50"/>
      <c r="BM160" s="50"/>
      <c r="BN160" s="50"/>
      <c r="BO160" s="50"/>
      <c r="BP160" s="50"/>
      <c r="BQ160" s="50"/>
      <c r="BR160" s="50"/>
      <c r="BS160" s="50"/>
      <c r="BT160" s="50"/>
      <c r="BU160" s="50"/>
      <c r="BV160" s="50"/>
      <c r="BW160" s="50"/>
      <c r="BX160" s="50"/>
      <c r="BY160" s="50"/>
      <c r="BZ160" s="50"/>
      <c r="CA160" s="50"/>
      <c r="CB160" s="50"/>
      <c r="CC160" s="50"/>
      <c r="CD160" s="50"/>
      <c r="CE160" s="50"/>
      <c r="CF160" s="50"/>
      <c r="CG160" s="50"/>
      <c r="CH160" s="50"/>
      <c r="CI160" s="50"/>
      <c r="CJ160" s="50"/>
      <c r="CK160" s="50"/>
      <c r="CL160" s="50"/>
      <c r="CM160" s="50"/>
      <c r="CN160" s="50"/>
      <c r="CO160" s="50"/>
      <c r="CP160" s="50"/>
      <c r="CQ160" s="50"/>
      <c r="CR160" s="50"/>
      <c r="CS160" s="50"/>
      <c r="CT160" s="50"/>
      <c r="CU160" s="50"/>
      <c r="CV160" s="50"/>
      <c r="CW160" s="50"/>
      <c r="CX160" s="50"/>
      <c r="CY160" s="50"/>
      <c r="CZ160" s="50"/>
      <c r="DA160" s="50"/>
      <c r="DB160" s="50"/>
      <c r="DC160" s="50"/>
      <c r="DD160" s="50"/>
    </row>
    <row r="161" spans="1:108" s="1" customFormat="1" ht="20.149999999999999" customHeight="1" outlineLevel="1">
      <c r="A161" s="302">
        <v>8.3000000000000007</v>
      </c>
      <c r="B161" s="226" t="s">
        <v>212</v>
      </c>
      <c r="C161" s="227" t="str">
        <f>VLOOKUP(A161, 'NZS O&amp;G and CA100'!$B$7:$D$194, 3, FALSE)</f>
        <v>Disclosure</v>
      </c>
      <c r="D161" s="310">
        <f>IF($B$4="Disclosure",(SUM(D162:D163)/COUNT(D162:D163)),"")</f>
        <v>1</v>
      </c>
      <c r="E161" s="311">
        <f t="shared" ref="E161:M161" si="41">IF($B$4="Disclosure",(SUM(E162:E163)/COUNT(E162:E163)),"")</f>
        <v>0.5</v>
      </c>
      <c r="F161" s="311">
        <f t="shared" si="41"/>
        <v>0</v>
      </c>
      <c r="G161" s="311">
        <f t="shared" si="41"/>
        <v>0</v>
      </c>
      <c r="H161" s="311">
        <f t="shared" si="41"/>
        <v>0.5</v>
      </c>
      <c r="I161" s="311">
        <f t="shared" si="41"/>
        <v>0</v>
      </c>
      <c r="J161" s="311">
        <f t="shared" si="41"/>
        <v>0</v>
      </c>
      <c r="K161" s="311">
        <f t="shared" si="41"/>
        <v>0</v>
      </c>
      <c r="L161" s="311">
        <f t="shared" si="41"/>
        <v>0.5</v>
      </c>
      <c r="M161" s="312">
        <f t="shared" si="41"/>
        <v>1</v>
      </c>
      <c r="O161" s="55"/>
      <c r="P161" s="56"/>
      <c r="Q161" s="56"/>
      <c r="R161" s="56"/>
      <c r="S161" s="56"/>
      <c r="T161" s="56"/>
      <c r="U161" s="56"/>
      <c r="V161" s="56"/>
      <c r="W161" s="56"/>
      <c r="X161" s="57"/>
      <c r="Z161" s="55"/>
      <c r="AA161" s="56"/>
      <c r="AB161" s="56"/>
      <c r="AC161" s="56"/>
      <c r="AD161" s="56"/>
      <c r="AE161" s="56"/>
      <c r="AF161" s="56"/>
      <c r="AG161" s="56"/>
      <c r="AH161" s="56"/>
      <c r="AI161" s="57"/>
      <c r="AK161" s="49"/>
      <c r="AL161" s="49"/>
      <c r="AM161" s="49"/>
      <c r="AN161" s="49"/>
      <c r="AO161" s="49"/>
      <c r="AP161" s="50"/>
      <c r="AQ161" s="50"/>
      <c r="AR161" s="50"/>
      <c r="AS161" s="50"/>
      <c r="AT161" s="50"/>
      <c r="AU161" s="50"/>
      <c r="AV161" s="50"/>
      <c r="AW161" s="50"/>
      <c r="AX161" s="50"/>
      <c r="AY161" s="50"/>
      <c r="AZ161" s="50"/>
      <c r="BA161" s="50"/>
      <c r="BB161" s="50"/>
      <c r="BC161" s="50"/>
      <c r="BD161" s="50"/>
      <c r="BE161" s="50"/>
      <c r="BF161" s="50"/>
      <c r="BG161" s="50"/>
      <c r="BH161" s="50"/>
      <c r="BI161" s="50"/>
      <c r="BJ161" s="50"/>
      <c r="BK161" s="50"/>
      <c r="BL161" s="50"/>
      <c r="BM161" s="50"/>
      <c r="BN161" s="50"/>
      <c r="BO161" s="50"/>
      <c r="BP161" s="50"/>
      <c r="BQ161" s="50"/>
      <c r="BR161" s="50"/>
      <c r="BS161" s="50"/>
      <c r="BT161" s="50"/>
      <c r="BU161" s="50"/>
      <c r="BV161" s="50"/>
      <c r="BW161" s="50"/>
      <c r="BX161" s="50"/>
      <c r="BY161" s="50"/>
      <c r="BZ161" s="50"/>
      <c r="CA161" s="50"/>
      <c r="CB161" s="50"/>
      <c r="CC161" s="50"/>
      <c r="CD161" s="50"/>
      <c r="CE161" s="50"/>
      <c r="CF161" s="50"/>
      <c r="CG161" s="50"/>
      <c r="CH161" s="50"/>
      <c r="CI161" s="50"/>
      <c r="CJ161" s="50"/>
      <c r="CK161" s="50"/>
      <c r="CL161" s="50"/>
      <c r="CM161" s="50"/>
      <c r="CN161" s="50"/>
      <c r="CO161" s="50"/>
      <c r="CP161" s="50"/>
      <c r="CQ161" s="50"/>
      <c r="CR161" s="50"/>
      <c r="CS161" s="50"/>
      <c r="CT161" s="50"/>
      <c r="CU161" s="50"/>
      <c r="CV161" s="50"/>
      <c r="CW161" s="50"/>
      <c r="CX161" s="50"/>
      <c r="CY161" s="50"/>
      <c r="CZ161" s="50"/>
      <c r="DA161" s="50"/>
      <c r="DB161" s="50"/>
      <c r="DC161" s="50"/>
      <c r="DD161" s="50"/>
    </row>
    <row r="162" spans="1:108" s="1" customFormat="1" ht="20.149999999999999" customHeight="1" outlineLevel="2">
      <c r="A162" s="302" t="s">
        <v>381</v>
      </c>
      <c r="B162" s="228" t="s">
        <v>213</v>
      </c>
      <c r="C162" s="227" t="str">
        <f>VLOOKUP(A162, 'NZS O&amp;G and CA100'!$B$7:$D$194, 3, FALSE)</f>
        <v>Disclosure</v>
      </c>
      <c r="D162" s="310">
        <f>IF(INDEX('NZS O&amp;G and CA100'!$D$5:$D$193, MATCH($A162, 'NZS O&amp;G and CA100'!$B$5:$B$193, 0)) =$B$4, INDEX('NZS O&amp;G and CA100'!$E$5:$N$193, MATCH($A162, 'NZS O&amp;G and CA100'!$B$5:$B$193, 0),MATCH(D$3, 'NZS O&amp;G and CA100'!$E$3:$N$3, 0)),"")</f>
        <v>1</v>
      </c>
      <c r="E162" s="311">
        <f>IF(INDEX('NZS O&amp;G and CA100'!$D$5:$D$193, MATCH($A162, 'NZS O&amp;G and CA100'!$B$5:$B$193, 0)) =$B$4, INDEX('NZS O&amp;G and CA100'!$E$5:$N$193, MATCH($A162, 'NZS O&amp;G and CA100'!$B$5:$B$193, 0),MATCH(E$3, 'NZS O&amp;G and CA100'!$E$3:$N$3, 0)),"")</f>
        <v>1</v>
      </c>
      <c r="F162" s="311">
        <f>IF(INDEX('NZS O&amp;G and CA100'!$D$5:$D$193, MATCH($A162, 'NZS O&amp;G and CA100'!$B$5:$B$193, 0)) =$B$4, INDEX('NZS O&amp;G and CA100'!$E$5:$N$193, MATCH($A162, 'NZS O&amp;G and CA100'!$B$5:$B$193, 0),MATCH(F$3, 'NZS O&amp;G and CA100'!$E$3:$N$3, 0)),"")</f>
        <v>0</v>
      </c>
      <c r="G162" s="311">
        <f>IF(INDEX('NZS O&amp;G and CA100'!$D$5:$D$193, MATCH($A162, 'NZS O&amp;G and CA100'!$B$5:$B$193, 0)) =$B$4, INDEX('NZS O&amp;G and CA100'!$E$5:$N$193, MATCH($A162, 'NZS O&amp;G and CA100'!$B$5:$B$193, 0),MATCH(G$3, 'NZS O&amp;G and CA100'!$E$3:$N$3, 0)),"")</f>
        <v>0</v>
      </c>
      <c r="H162" s="311">
        <f>IF(INDEX('NZS O&amp;G and CA100'!$D$5:$D$193, MATCH($A162, 'NZS O&amp;G and CA100'!$B$5:$B$193, 0)) =$B$4, INDEX('NZS O&amp;G and CA100'!$E$5:$N$193, MATCH($A162, 'NZS O&amp;G and CA100'!$B$5:$B$193, 0),MATCH(H$3, 'NZS O&amp;G and CA100'!$E$3:$N$3, 0)),"")</f>
        <v>1</v>
      </c>
      <c r="I162" s="311">
        <f>IF(INDEX('NZS O&amp;G and CA100'!$D$5:$D$193, MATCH($A162, 'NZS O&amp;G and CA100'!$B$5:$B$193, 0)) =$B$4, INDEX('NZS O&amp;G and CA100'!$E$5:$N$193, MATCH($A162, 'NZS O&amp;G and CA100'!$B$5:$B$193, 0),MATCH(I$3, 'NZS O&amp;G and CA100'!$E$3:$N$3, 0)),"")</f>
        <v>0</v>
      </c>
      <c r="J162" s="311">
        <f>IF(INDEX('NZS O&amp;G and CA100'!$D$5:$D$193, MATCH($A162, 'NZS O&amp;G and CA100'!$B$5:$B$193, 0)) =$B$4, INDEX('NZS O&amp;G and CA100'!$E$5:$N$193, MATCH($A162, 'NZS O&amp;G and CA100'!$B$5:$B$193, 0),MATCH(J$3, 'NZS O&amp;G and CA100'!$E$3:$N$3, 0)),"")</f>
        <v>0</v>
      </c>
      <c r="K162" s="311">
        <f>IF(INDEX('NZS O&amp;G and CA100'!$D$5:$D$193, MATCH($A162, 'NZS O&amp;G and CA100'!$B$5:$B$193, 0)) =$B$4, INDEX('NZS O&amp;G and CA100'!$E$5:$N$193, MATCH($A162, 'NZS O&amp;G and CA100'!$B$5:$B$193, 0),MATCH(K$3, 'NZS O&amp;G and CA100'!$E$3:$N$3, 0)),"")</f>
        <v>0</v>
      </c>
      <c r="L162" s="311">
        <f>IF(INDEX('NZS O&amp;G and CA100'!$D$5:$D$193, MATCH($A162, 'NZS O&amp;G and CA100'!$B$5:$B$193, 0)) =$B$4, INDEX('NZS O&amp;G and CA100'!$E$5:$N$193, MATCH($A162, 'NZS O&amp;G and CA100'!$B$5:$B$193, 0),MATCH(L$3, 'NZS O&amp;G and CA100'!$E$3:$N$3, 0)),"")</f>
        <v>1</v>
      </c>
      <c r="M162" s="312">
        <f>IF(INDEX('NZS O&amp;G and CA100'!$D$5:$D$193, MATCH($A162, 'NZS O&amp;G and CA100'!$B$5:$B$193, 0)) =$B$4, INDEX('NZS O&amp;G and CA100'!$E$5:$N$193, MATCH($A162, 'NZS O&amp;G and CA100'!$B$5:$B$193, 0),MATCH(M$3, 'NZS O&amp;G and CA100'!$E$3:$N$3, 0)),"")</f>
        <v>1</v>
      </c>
      <c r="O162" s="55"/>
      <c r="P162" s="56"/>
      <c r="Q162" s="56"/>
      <c r="R162" s="56"/>
      <c r="S162" s="56"/>
      <c r="T162" s="56"/>
      <c r="U162" s="56"/>
      <c r="V162" s="56"/>
      <c r="W162" s="56"/>
      <c r="X162" s="57"/>
      <c r="Z162" s="55"/>
      <c r="AA162" s="56"/>
      <c r="AB162" s="56"/>
      <c r="AC162" s="56"/>
      <c r="AD162" s="56"/>
      <c r="AE162" s="56"/>
      <c r="AF162" s="56"/>
      <c r="AG162" s="56"/>
      <c r="AH162" s="56"/>
      <c r="AI162" s="57"/>
      <c r="AK162" s="49"/>
      <c r="AL162" s="49"/>
      <c r="AM162" s="49"/>
      <c r="AN162" s="49"/>
      <c r="AO162" s="49"/>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c r="BL162" s="50"/>
      <c r="BM162" s="50"/>
      <c r="BN162" s="50"/>
      <c r="BO162" s="50"/>
      <c r="BP162" s="50"/>
      <c r="BQ162" s="50"/>
      <c r="BR162" s="50"/>
      <c r="BS162" s="50"/>
      <c r="BT162" s="50"/>
      <c r="BU162" s="50"/>
      <c r="BV162" s="50"/>
      <c r="BW162" s="50"/>
      <c r="BX162" s="50"/>
      <c r="BY162" s="50"/>
      <c r="BZ162" s="50"/>
      <c r="CA162" s="50"/>
      <c r="CB162" s="50"/>
      <c r="CC162" s="50"/>
      <c r="CD162" s="50"/>
      <c r="CE162" s="50"/>
      <c r="CF162" s="50"/>
      <c r="CG162" s="50"/>
      <c r="CH162" s="50"/>
      <c r="CI162" s="50"/>
      <c r="CJ162" s="50"/>
      <c r="CK162" s="50"/>
      <c r="CL162" s="50"/>
      <c r="CM162" s="50"/>
      <c r="CN162" s="50"/>
      <c r="CO162" s="50"/>
      <c r="CP162" s="50"/>
      <c r="CQ162" s="50"/>
      <c r="CR162" s="50"/>
      <c r="CS162" s="50"/>
      <c r="CT162" s="50"/>
      <c r="CU162" s="50"/>
      <c r="CV162" s="50"/>
      <c r="CW162" s="50"/>
      <c r="CX162" s="50"/>
      <c r="CY162" s="50"/>
      <c r="CZ162" s="50"/>
      <c r="DA162" s="50"/>
      <c r="DB162" s="50"/>
      <c r="DC162" s="50"/>
      <c r="DD162" s="50"/>
    </row>
    <row r="163" spans="1:108" s="1" customFormat="1" ht="20.149999999999999" customHeight="1" outlineLevel="2">
      <c r="A163" s="302" t="s">
        <v>382</v>
      </c>
      <c r="B163" s="228" t="s">
        <v>214</v>
      </c>
      <c r="C163" s="227" t="str">
        <f>VLOOKUP(A163, 'NZS O&amp;G and CA100'!$B$7:$D$194, 3, FALSE)</f>
        <v>Disclosure</v>
      </c>
      <c r="D163" s="310">
        <f>IF(INDEX('NZS O&amp;G and CA100'!$D$5:$D$193, MATCH($A163, 'NZS O&amp;G and CA100'!$B$5:$B$193, 0)) =$B$4, INDEX('NZS O&amp;G and CA100'!$E$5:$N$193, MATCH($A163, 'NZS O&amp;G and CA100'!$B$5:$B$193, 0),MATCH(D$3, 'NZS O&amp;G and CA100'!$E$3:$N$3, 0)),"")</f>
        <v>1</v>
      </c>
      <c r="E163" s="311">
        <f>IF(INDEX('NZS O&amp;G and CA100'!$D$5:$D$193, MATCH($A163, 'NZS O&amp;G and CA100'!$B$5:$B$193, 0)) =$B$4, INDEX('NZS O&amp;G and CA100'!$E$5:$N$193, MATCH($A163, 'NZS O&amp;G and CA100'!$B$5:$B$193, 0),MATCH(E$3, 'NZS O&amp;G and CA100'!$E$3:$N$3, 0)),"")</f>
        <v>0</v>
      </c>
      <c r="F163" s="311">
        <f>IF(INDEX('NZS O&amp;G and CA100'!$D$5:$D$193, MATCH($A163, 'NZS O&amp;G and CA100'!$B$5:$B$193, 0)) =$B$4, INDEX('NZS O&amp;G and CA100'!$E$5:$N$193, MATCH($A163, 'NZS O&amp;G and CA100'!$B$5:$B$193, 0),MATCH(F$3, 'NZS O&amp;G and CA100'!$E$3:$N$3, 0)),"")</f>
        <v>0</v>
      </c>
      <c r="G163" s="311">
        <f>IF(INDEX('NZS O&amp;G and CA100'!$D$5:$D$193, MATCH($A163, 'NZS O&amp;G and CA100'!$B$5:$B$193, 0)) =$B$4, INDEX('NZS O&amp;G and CA100'!$E$5:$N$193, MATCH($A163, 'NZS O&amp;G and CA100'!$B$5:$B$193, 0),MATCH(G$3, 'NZS O&amp;G and CA100'!$E$3:$N$3, 0)),"")</f>
        <v>0</v>
      </c>
      <c r="H163" s="311">
        <f>IF(INDEX('NZS O&amp;G and CA100'!$D$5:$D$193, MATCH($A163, 'NZS O&amp;G and CA100'!$B$5:$B$193, 0)) =$B$4, INDEX('NZS O&amp;G and CA100'!$E$5:$N$193, MATCH($A163, 'NZS O&amp;G and CA100'!$B$5:$B$193, 0),MATCH(H$3, 'NZS O&amp;G and CA100'!$E$3:$N$3, 0)),"")</f>
        <v>0</v>
      </c>
      <c r="I163" s="311">
        <f>IF(INDEX('NZS O&amp;G and CA100'!$D$5:$D$193, MATCH($A163, 'NZS O&amp;G and CA100'!$B$5:$B$193, 0)) =$B$4, INDEX('NZS O&amp;G and CA100'!$E$5:$N$193, MATCH($A163, 'NZS O&amp;G and CA100'!$B$5:$B$193, 0),MATCH(I$3, 'NZS O&amp;G and CA100'!$E$3:$N$3, 0)),"")</f>
        <v>0</v>
      </c>
      <c r="J163" s="311">
        <f>IF(INDEX('NZS O&amp;G and CA100'!$D$5:$D$193, MATCH($A163, 'NZS O&amp;G and CA100'!$B$5:$B$193, 0)) =$B$4, INDEX('NZS O&amp;G and CA100'!$E$5:$N$193, MATCH($A163, 'NZS O&amp;G and CA100'!$B$5:$B$193, 0),MATCH(J$3, 'NZS O&amp;G and CA100'!$E$3:$N$3, 0)),"")</f>
        <v>0</v>
      </c>
      <c r="K163" s="311">
        <f>IF(INDEX('NZS O&amp;G and CA100'!$D$5:$D$193, MATCH($A163, 'NZS O&amp;G and CA100'!$B$5:$B$193, 0)) =$B$4, INDEX('NZS O&amp;G and CA100'!$E$5:$N$193, MATCH($A163, 'NZS O&amp;G and CA100'!$B$5:$B$193, 0),MATCH(K$3, 'NZS O&amp;G and CA100'!$E$3:$N$3, 0)),"")</f>
        <v>0</v>
      </c>
      <c r="L163" s="311">
        <f>IF(INDEX('NZS O&amp;G and CA100'!$D$5:$D$193, MATCH($A163, 'NZS O&amp;G and CA100'!$B$5:$B$193, 0)) =$B$4, INDEX('NZS O&amp;G and CA100'!$E$5:$N$193, MATCH($A163, 'NZS O&amp;G and CA100'!$B$5:$B$193, 0),MATCH(L$3, 'NZS O&amp;G and CA100'!$E$3:$N$3, 0)),"")</f>
        <v>0</v>
      </c>
      <c r="M163" s="312">
        <f>IF(INDEX('NZS O&amp;G and CA100'!$D$5:$D$193, MATCH($A163, 'NZS O&amp;G and CA100'!$B$5:$B$193, 0)) =$B$4, INDEX('NZS O&amp;G and CA100'!$E$5:$N$193, MATCH($A163, 'NZS O&amp;G and CA100'!$B$5:$B$193, 0),MATCH(M$3, 'NZS O&amp;G and CA100'!$E$3:$N$3, 0)),"")</f>
        <v>1</v>
      </c>
      <c r="O163" s="55"/>
      <c r="P163" s="56"/>
      <c r="Q163" s="56"/>
      <c r="R163" s="56"/>
      <c r="S163" s="56"/>
      <c r="T163" s="56"/>
      <c r="U163" s="56"/>
      <c r="V163" s="56"/>
      <c r="W163" s="56"/>
      <c r="X163" s="57"/>
      <c r="Z163" s="55"/>
      <c r="AA163" s="56"/>
      <c r="AB163" s="56"/>
      <c r="AC163" s="56"/>
      <c r="AD163" s="56"/>
      <c r="AE163" s="56"/>
      <c r="AF163" s="56"/>
      <c r="AG163" s="56"/>
      <c r="AH163" s="56"/>
      <c r="AI163" s="57"/>
      <c r="AK163" s="49"/>
      <c r="AL163" s="49"/>
      <c r="AM163" s="49"/>
      <c r="AN163" s="49"/>
      <c r="AO163" s="49"/>
      <c r="AP163" s="50"/>
      <c r="AQ163" s="50"/>
      <c r="AR163" s="50"/>
      <c r="AS163" s="50"/>
      <c r="AT163" s="50"/>
      <c r="AU163" s="50"/>
      <c r="AV163" s="50"/>
      <c r="AW163" s="50"/>
      <c r="AX163" s="50"/>
      <c r="AY163" s="50"/>
      <c r="AZ163" s="50"/>
      <c r="BA163" s="50"/>
      <c r="BB163" s="50"/>
      <c r="BC163" s="50"/>
      <c r="BD163" s="50"/>
      <c r="BE163" s="50"/>
      <c r="BF163" s="50"/>
      <c r="BG163" s="50"/>
      <c r="BH163" s="50"/>
      <c r="BI163" s="50"/>
      <c r="BJ163" s="50"/>
      <c r="BK163" s="50"/>
      <c r="BL163" s="50"/>
      <c r="BM163" s="50"/>
      <c r="BN163" s="50"/>
      <c r="BO163" s="50"/>
      <c r="BP163" s="50"/>
      <c r="BQ163" s="50"/>
      <c r="BR163" s="50"/>
      <c r="BS163" s="50"/>
      <c r="BT163" s="50"/>
      <c r="BU163" s="50"/>
      <c r="BV163" s="50"/>
      <c r="BW163" s="50"/>
      <c r="BX163" s="50"/>
      <c r="BY163" s="50"/>
      <c r="BZ163" s="50"/>
      <c r="CA163" s="50"/>
      <c r="CB163" s="50"/>
      <c r="CC163" s="50"/>
      <c r="CD163" s="50"/>
      <c r="CE163" s="50"/>
      <c r="CF163" s="50"/>
      <c r="CG163" s="50"/>
      <c r="CH163" s="50"/>
      <c r="CI163" s="50"/>
      <c r="CJ163" s="50"/>
      <c r="CK163" s="50"/>
      <c r="CL163" s="50"/>
      <c r="CM163" s="50"/>
      <c r="CN163" s="50"/>
      <c r="CO163" s="50"/>
      <c r="CP163" s="50"/>
      <c r="CQ163" s="50"/>
      <c r="CR163" s="50"/>
      <c r="CS163" s="50"/>
      <c r="CT163" s="50"/>
      <c r="CU163" s="50"/>
      <c r="CV163" s="50"/>
      <c r="CW163" s="50"/>
      <c r="CX163" s="50"/>
      <c r="CY163" s="50"/>
      <c r="CZ163" s="50"/>
      <c r="DA163" s="50"/>
      <c r="DB163" s="50"/>
      <c r="DC163" s="50"/>
      <c r="DD163" s="50"/>
    </row>
    <row r="164" spans="1:108" s="1" customFormat="1" ht="6.65" customHeight="1" outlineLevel="1">
      <c r="A164" s="302"/>
      <c r="B164" s="231"/>
      <c r="C164" s="232"/>
      <c r="D164" s="55"/>
      <c r="E164" s="56"/>
      <c r="F164" s="56"/>
      <c r="G164" s="56"/>
      <c r="H164" s="56"/>
      <c r="I164" s="56"/>
      <c r="J164" s="56"/>
      <c r="K164" s="56"/>
      <c r="L164" s="56"/>
      <c r="M164" s="57"/>
      <c r="O164" s="55"/>
      <c r="P164" s="56"/>
      <c r="Q164" s="56"/>
      <c r="R164" s="56"/>
      <c r="S164" s="56"/>
      <c r="T164" s="56"/>
      <c r="U164" s="56"/>
      <c r="V164" s="56"/>
      <c r="W164" s="56"/>
      <c r="X164" s="57"/>
      <c r="Z164" s="55"/>
      <c r="AA164" s="56"/>
      <c r="AB164" s="56"/>
      <c r="AC164" s="56"/>
      <c r="AD164" s="56"/>
      <c r="AE164" s="56"/>
      <c r="AF164" s="56"/>
      <c r="AG164" s="56"/>
      <c r="AH164" s="56"/>
      <c r="AI164" s="57"/>
      <c r="AK164" s="49"/>
      <c r="AL164" s="49"/>
      <c r="AM164" s="49"/>
      <c r="AN164" s="49"/>
      <c r="AO164" s="49"/>
      <c r="AP164" s="50"/>
      <c r="AQ164" s="50"/>
      <c r="AR164" s="50"/>
      <c r="AS164" s="50"/>
      <c r="AT164" s="50"/>
      <c r="AU164" s="50"/>
      <c r="AV164" s="50"/>
      <c r="AW164" s="50"/>
      <c r="AX164" s="50"/>
      <c r="AY164" s="50"/>
      <c r="AZ164" s="50"/>
      <c r="BA164" s="50"/>
      <c r="BB164" s="50"/>
      <c r="BC164" s="50"/>
      <c r="BD164" s="50"/>
      <c r="BE164" s="50"/>
      <c r="BF164" s="50"/>
      <c r="BG164" s="50"/>
      <c r="BH164" s="50"/>
      <c r="BI164" s="50"/>
      <c r="BJ164" s="50"/>
      <c r="BK164" s="50"/>
      <c r="BL164" s="50"/>
      <c r="BM164" s="50"/>
      <c r="BN164" s="50"/>
      <c r="BO164" s="50"/>
      <c r="BP164" s="50"/>
      <c r="BQ164" s="50"/>
      <c r="BR164" s="50"/>
      <c r="BS164" s="50"/>
      <c r="BT164" s="50"/>
      <c r="BU164" s="50"/>
      <c r="BV164" s="50"/>
      <c r="BW164" s="50"/>
      <c r="BX164" s="50"/>
      <c r="BY164" s="50"/>
      <c r="BZ164" s="50"/>
      <c r="CA164" s="50"/>
      <c r="CB164" s="50"/>
      <c r="CC164" s="50"/>
      <c r="CD164" s="50"/>
      <c r="CE164" s="50"/>
      <c r="CF164" s="50"/>
      <c r="CG164" s="50"/>
      <c r="CH164" s="50"/>
      <c r="CI164" s="50"/>
      <c r="CJ164" s="50"/>
      <c r="CK164" s="50"/>
      <c r="CL164" s="50"/>
      <c r="CM164" s="50"/>
      <c r="CN164" s="50"/>
      <c r="CO164" s="50"/>
      <c r="CP164" s="50"/>
      <c r="CQ164" s="50"/>
      <c r="CR164" s="50"/>
      <c r="CS164" s="50"/>
      <c r="CT164" s="50"/>
      <c r="CU164" s="50"/>
      <c r="CV164" s="50"/>
      <c r="CW164" s="50"/>
      <c r="CX164" s="50"/>
      <c r="CY164" s="50"/>
      <c r="CZ164" s="50"/>
      <c r="DA164" s="50"/>
      <c r="DB164" s="50"/>
      <c r="DC164" s="50"/>
      <c r="DD164" s="50"/>
    </row>
    <row r="165" spans="1:108" s="1" customFormat="1" ht="18.649999999999999" customHeight="1" thickBot="1">
      <c r="A165" s="302"/>
      <c r="B165" s="229" t="s">
        <v>81</v>
      </c>
      <c r="C165" s="230"/>
      <c r="D165" s="58"/>
      <c r="E165" s="59"/>
      <c r="F165" s="59"/>
      <c r="G165" s="59"/>
      <c r="H165" s="59"/>
      <c r="I165" s="59"/>
      <c r="J165" s="59"/>
      <c r="K165" s="59"/>
      <c r="L165" s="59"/>
      <c r="M165" s="60"/>
      <c r="O165" s="58"/>
      <c r="P165" s="59"/>
      <c r="Q165" s="59"/>
      <c r="R165" s="59"/>
      <c r="S165" s="59"/>
      <c r="T165" s="59"/>
      <c r="U165" s="59"/>
      <c r="V165" s="59"/>
      <c r="W165" s="59"/>
      <c r="X165" s="60"/>
      <c r="Z165" s="58"/>
      <c r="AA165" s="59"/>
      <c r="AB165" s="59"/>
      <c r="AC165" s="59"/>
      <c r="AD165" s="59"/>
      <c r="AE165" s="59"/>
      <c r="AF165" s="59"/>
      <c r="AG165" s="59"/>
      <c r="AH165" s="59"/>
      <c r="AI165" s="60"/>
      <c r="AK165" s="49"/>
      <c r="AL165" s="49"/>
      <c r="AM165" s="49"/>
      <c r="AN165" s="49"/>
      <c r="AO165" s="49"/>
      <c r="AP165" s="50"/>
      <c r="AQ165" s="50"/>
      <c r="AR165" s="50"/>
      <c r="AS165" s="50"/>
      <c r="AT165" s="50"/>
      <c r="AU165" s="50"/>
      <c r="AV165" s="50"/>
      <c r="AW165" s="50"/>
      <c r="AX165" s="50"/>
      <c r="AY165" s="50"/>
      <c r="AZ165" s="50"/>
      <c r="BA165" s="50"/>
      <c r="BB165" s="50"/>
      <c r="BC165" s="50"/>
      <c r="BD165" s="50"/>
      <c r="BE165" s="50"/>
      <c r="BF165" s="50"/>
      <c r="BG165" s="50"/>
      <c r="BH165" s="50"/>
      <c r="BI165" s="50"/>
      <c r="BJ165" s="50"/>
      <c r="BK165" s="50"/>
      <c r="BL165" s="50"/>
      <c r="BM165" s="50"/>
      <c r="BN165" s="50"/>
      <c r="BO165" s="50"/>
      <c r="BP165" s="50"/>
      <c r="BQ165" s="50"/>
      <c r="BR165" s="50"/>
      <c r="BS165" s="50"/>
      <c r="BT165" s="50"/>
      <c r="BU165" s="50"/>
      <c r="BV165" s="50"/>
      <c r="BW165" s="50"/>
      <c r="BX165" s="50"/>
      <c r="BY165" s="50"/>
      <c r="BZ165" s="50"/>
      <c r="CA165" s="50"/>
      <c r="CB165" s="50"/>
      <c r="CC165" s="50"/>
      <c r="CD165" s="50"/>
      <c r="CE165" s="50"/>
      <c r="CF165" s="50"/>
      <c r="CG165" s="50"/>
      <c r="CH165" s="50"/>
      <c r="CI165" s="50"/>
      <c r="CJ165" s="50"/>
      <c r="CK165" s="50"/>
      <c r="CL165" s="50"/>
      <c r="CM165" s="50"/>
      <c r="CN165" s="50"/>
      <c r="CO165" s="50"/>
      <c r="CP165" s="50"/>
      <c r="CQ165" s="50"/>
      <c r="CR165" s="50"/>
      <c r="CS165" s="50"/>
      <c r="CT165" s="50"/>
      <c r="CU165" s="50"/>
      <c r="CV165" s="50"/>
      <c r="CW165" s="50"/>
      <c r="CX165" s="50"/>
      <c r="CY165" s="50"/>
      <c r="CZ165" s="50"/>
      <c r="DA165" s="50"/>
      <c r="DB165" s="50"/>
      <c r="DC165" s="50"/>
      <c r="DD165" s="50"/>
    </row>
    <row r="166" spans="1:108" s="1" customFormat="1" ht="18.649999999999999" customHeight="1">
      <c r="A166" s="302"/>
      <c r="B166" s="231"/>
      <c r="C166" s="232"/>
      <c r="D166" s="55"/>
      <c r="E166" s="56"/>
      <c r="F166" s="56"/>
      <c r="G166" s="56"/>
      <c r="H166" s="56"/>
      <c r="I166" s="56"/>
      <c r="J166" s="56"/>
      <c r="K166" s="56"/>
      <c r="L166" s="56"/>
      <c r="M166" s="57"/>
      <c r="O166" s="61"/>
      <c r="P166" s="62"/>
      <c r="Q166" s="62"/>
      <c r="R166" s="62"/>
      <c r="S166" s="62"/>
      <c r="T166" s="62"/>
      <c r="U166" s="62"/>
      <c r="V166" s="62"/>
      <c r="W166" s="62"/>
      <c r="X166" s="63"/>
      <c r="Z166" s="61"/>
      <c r="AA166" s="62"/>
      <c r="AB166" s="62"/>
      <c r="AC166" s="62"/>
      <c r="AD166" s="62"/>
      <c r="AE166" s="62"/>
      <c r="AF166" s="62"/>
      <c r="AG166" s="62"/>
      <c r="AH166" s="62"/>
      <c r="AI166" s="63"/>
      <c r="AK166" s="49"/>
      <c r="AL166" s="49"/>
      <c r="AM166" s="49"/>
      <c r="AN166" s="49"/>
      <c r="AO166" s="49"/>
      <c r="AP166" s="50"/>
      <c r="AQ166" s="50"/>
      <c r="AR166" s="50"/>
      <c r="AS166" s="50"/>
      <c r="AT166" s="50"/>
      <c r="AU166" s="50"/>
      <c r="AV166" s="50"/>
      <c r="AW166" s="50"/>
      <c r="AX166" s="50"/>
      <c r="AY166" s="50"/>
      <c r="AZ166" s="50"/>
      <c r="BA166" s="50"/>
      <c r="BB166" s="50"/>
      <c r="BC166" s="50"/>
      <c r="BD166" s="50"/>
      <c r="BE166" s="50"/>
      <c r="BF166" s="50"/>
      <c r="BG166" s="50"/>
      <c r="BH166" s="50"/>
      <c r="BI166" s="50"/>
      <c r="BJ166" s="50"/>
      <c r="BK166" s="50"/>
      <c r="BL166" s="50"/>
      <c r="BM166" s="50"/>
      <c r="BN166" s="50"/>
      <c r="BO166" s="50"/>
      <c r="BP166" s="50"/>
      <c r="BQ166" s="50"/>
      <c r="BR166" s="50"/>
      <c r="BS166" s="50"/>
      <c r="BT166" s="50"/>
      <c r="BU166" s="50"/>
      <c r="BV166" s="50"/>
      <c r="BW166" s="50"/>
      <c r="BX166" s="50"/>
      <c r="BY166" s="50"/>
      <c r="BZ166" s="50"/>
      <c r="CA166" s="50"/>
      <c r="CB166" s="50"/>
      <c r="CC166" s="50"/>
      <c r="CD166" s="50"/>
      <c r="CE166" s="50"/>
      <c r="CF166" s="50"/>
      <c r="CG166" s="50"/>
      <c r="CH166" s="50"/>
      <c r="CI166" s="50"/>
      <c r="CJ166" s="50"/>
      <c r="CK166" s="50"/>
      <c r="CL166" s="50"/>
      <c r="CM166" s="50"/>
      <c r="CN166" s="50"/>
      <c r="CO166" s="50"/>
      <c r="CP166" s="50"/>
      <c r="CQ166" s="50"/>
      <c r="CR166" s="50"/>
      <c r="CS166" s="50"/>
      <c r="CT166" s="50"/>
      <c r="CU166" s="50"/>
      <c r="CV166" s="50"/>
      <c r="CW166" s="50"/>
      <c r="CX166" s="50"/>
      <c r="CY166" s="50"/>
      <c r="CZ166" s="50"/>
      <c r="DA166" s="50"/>
      <c r="DB166" s="50"/>
      <c r="DC166" s="50"/>
      <c r="DD166" s="50"/>
    </row>
    <row r="167" spans="1:108" s="1" customFormat="1" ht="20.149999999999999" customHeight="1">
      <c r="A167" s="302">
        <v>9</v>
      </c>
      <c r="B167" s="376" t="s">
        <v>215</v>
      </c>
      <c r="C167" s="377"/>
      <c r="D167" s="307">
        <f>IF($B$4="Disclosure",(SUM(D168,D172)/COUNT(D168,D172)),"")</f>
        <v>0.33333333333333331</v>
      </c>
      <c r="E167" s="308">
        <f t="shared" ref="E167:M167" si="42">IF($B$4="Disclosure",(SUM(E168,E172)/COUNT(E168,E172)),"")</f>
        <v>0</v>
      </c>
      <c r="F167" s="308">
        <f t="shared" si="42"/>
        <v>0.16666666666666666</v>
      </c>
      <c r="G167" s="308">
        <f t="shared" si="42"/>
        <v>0.83333333333333326</v>
      </c>
      <c r="H167" s="308">
        <f t="shared" si="42"/>
        <v>0.16666666666666666</v>
      </c>
      <c r="I167" s="308">
        <f t="shared" si="42"/>
        <v>0</v>
      </c>
      <c r="J167" s="308">
        <f t="shared" si="42"/>
        <v>0.83333333333333326</v>
      </c>
      <c r="K167" s="308">
        <f t="shared" si="42"/>
        <v>0</v>
      </c>
      <c r="L167" s="308">
        <f t="shared" si="42"/>
        <v>0</v>
      </c>
      <c r="M167" s="309">
        <f t="shared" si="42"/>
        <v>0.5</v>
      </c>
      <c r="O167" s="55"/>
      <c r="P167" s="56"/>
      <c r="Q167" s="56"/>
      <c r="R167" s="56"/>
      <c r="S167" s="56"/>
      <c r="T167" s="56"/>
      <c r="U167" s="56"/>
      <c r="V167" s="56"/>
      <c r="W167" s="56"/>
      <c r="X167" s="57"/>
      <c r="Z167" s="55"/>
      <c r="AA167" s="56"/>
      <c r="AB167" s="56"/>
      <c r="AC167" s="56"/>
      <c r="AD167" s="56"/>
      <c r="AE167" s="56"/>
      <c r="AF167" s="56"/>
      <c r="AG167" s="56"/>
      <c r="AH167" s="56"/>
      <c r="AI167" s="57"/>
      <c r="AK167" s="49"/>
      <c r="AL167" s="49"/>
      <c r="AM167" s="49"/>
      <c r="AN167" s="49"/>
      <c r="AO167" s="49"/>
      <c r="AP167" s="50"/>
      <c r="AQ167" s="50"/>
      <c r="AR167" s="50"/>
      <c r="AS167" s="50"/>
      <c r="AT167" s="50"/>
      <c r="AU167" s="50"/>
      <c r="AV167" s="50"/>
      <c r="AW167" s="50"/>
      <c r="AX167" s="50"/>
      <c r="AY167" s="50"/>
      <c r="AZ167" s="50"/>
      <c r="BA167" s="50"/>
      <c r="BB167" s="50"/>
      <c r="BC167" s="50"/>
      <c r="BD167" s="50"/>
      <c r="BE167" s="50"/>
      <c r="BF167" s="50"/>
      <c r="BG167" s="50"/>
      <c r="BH167" s="50"/>
      <c r="BI167" s="50"/>
      <c r="BJ167" s="50"/>
      <c r="BK167" s="50"/>
      <c r="BL167" s="50"/>
      <c r="BM167" s="50"/>
      <c r="BN167" s="50"/>
      <c r="BO167" s="50"/>
      <c r="BP167" s="50"/>
      <c r="BQ167" s="50"/>
      <c r="BR167" s="50"/>
      <c r="BS167" s="50"/>
      <c r="BT167" s="50"/>
      <c r="BU167" s="50"/>
      <c r="BV167" s="50"/>
      <c r="BW167" s="50"/>
      <c r="BX167" s="50"/>
      <c r="BY167" s="50"/>
      <c r="BZ167" s="50"/>
      <c r="CA167" s="50"/>
      <c r="CB167" s="50"/>
      <c r="CC167" s="50"/>
      <c r="CD167" s="50"/>
      <c r="CE167" s="50"/>
      <c r="CF167" s="50"/>
      <c r="CG167" s="50"/>
      <c r="CH167" s="50"/>
      <c r="CI167" s="50"/>
      <c r="CJ167" s="50"/>
      <c r="CK167" s="50"/>
      <c r="CL167" s="50"/>
      <c r="CM167" s="50"/>
      <c r="CN167" s="50"/>
      <c r="CO167" s="50"/>
      <c r="CP167" s="50"/>
      <c r="CQ167" s="50"/>
      <c r="CR167" s="50"/>
      <c r="CS167" s="50"/>
      <c r="CT167" s="50"/>
      <c r="CU167" s="50"/>
      <c r="CV167" s="50"/>
      <c r="CW167" s="50"/>
      <c r="CX167" s="50"/>
      <c r="CY167" s="50"/>
      <c r="CZ167" s="50"/>
      <c r="DA167" s="50"/>
      <c r="DB167" s="50"/>
      <c r="DC167" s="50"/>
      <c r="DD167" s="50"/>
    </row>
    <row r="168" spans="1:108" s="1" customFormat="1" ht="20.149999999999999" customHeight="1" outlineLevel="1">
      <c r="A168" s="302">
        <v>9.1</v>
      </c>
      <c r="B168" s="226" t="s">
        <v>216</v>
      </c>
      <c r="C168" s="227" t="str">
        <f>VLOOKUP(A168, 'NZS O&amp;G and CA100'!$B$7:$D$194, 3, FALSE)</f>
        <v>Disclosure</v>
      </c>
      <c r="D168" s="310">
        <f>IF($B$4="Disclosure",(SUM(D169:D171)/COUNT(D169:D171)),"")</f>
        <v>0.66666666666666663</v>
      </c>
      <c r="E168" s="311">
        <f t="shared" ref="E168:M168" si="43">IF($B$4="Disclosure",(SUM(E169:E171)/COUNT(E169:E171)),"")</f>
        <v>0</v>
      </c>
      <c r="F168" s="311">
        <f t="shared" si="43"/>
        <v>0.33333333333333331</v>
      </c>
      <c r="G168" s="311">
        <f t="shared" si="43"/>
        <v>0.66666666666666663</v>
      </c>
      <c r="H168" s="311">
        <f t="shared" si="43"/>
        <v>0.33333333333333331</v>
      </c>
      <c r="I168" s="311">
        <f t="shared" si="43"/>
        <v>0</v>
      </c>
      <c r="J168" s="311">
        <f t="shared" si="43"/>
        <v>1</v>
      </c>
      <c r="K168" s="311">
        <f t="shared" si="43"/>
        <v>0</v>
      </c>
      <c r="L168" s="311">
        <f t="shared" si="43"/>
        <v>0</v>
      </c>
      <c r="M168" s="312">
        <f t="shared" si="43"/>
        <v>0.66666666666666663</v>
      </c>
      <c r="O168" s="55"/>
      <c r="P168" s="56"/>
      <c r="Q168" s="56"/>
      <c r="R168" s="56"/>
      <c r="S168" s="56"/>
      <c r="T168" s="56"/>
      <c r="U168" s="56"/>
      <c r="V168" s="56"/>
      <c r="W168" s="56"/>
      <c r="X168" s="57"/>
      <c r="Z168" s="55"/>
      <c r="AA168" s="56"/>
      <c r="AB168" s="56"/>
      <c r="AC168" s="56"/>
      <c r="AD168" s="56"/>
      <c r="AE168" s="56"/>
      <c r="AF168" s="56"/>
      <c r="AG168" s="56"/>
      <c r="AH168" s="56"/>
      <c r="AI168" s="57"/>
      <c r="AK168" s="49"/>
      <c r="AL168" s="49"/>
      <c r="AM168" s="49"/>
      <c r="AN168" s="49"/>
      <c r="AO168" s="49"/>
      <c r="AP168" s="50"/>
      <c r="AQ168" s="50"/>
      <c r="AR168" s="50"/>
      <c r="AS168" s="50"/>
      <c r="AT168" s="50"/>
      <c r="AU168" s="50"/>
      <c r="AV168" s="50"/>
      <c r="AW168" s="50"/>
      <c r="AX168" s="50"/>
      <c r="AY168" s="50"/>
      <c r="AZ168" s="50"/>
      <c r="BA168" s="50"/>
      <c r="BB168" s="50"/>
      <c r="BC168" s="50"/>
      <c r="BD168" s="50"/>
      <c r="BE168" s="50"/>
      <c r="BF168" s="50"/>
      <c r="BG168" s="50"/>
      <c r="BH168" s="50"/>
      <c r="BI168" s="50"/>
      <c r="BJ168" s="50"/>
      <c r="BK168" s="50"/>
      <c r="BL168" s="50"/>
      <c r="BM168" s="50"/>
      <c r="BN168" s="50"/>
      <c r="BO168" s="50"/>
      <c r="BP168" s="50"/>
      <c r="BQ168" s="50"/>
      <c r="BR168" s="50"/>
      <c r="BS168" s="50"/>
      <c r="BT168" s="50"/>
      <c r="BU168" s="50"/>
      <c r="BV168" s="50"/>
      <c r="BW168" s="50"/>
      <c r="BX168" s="50"/>
      <c r="BY168" s="50"/>
      <c r="BZ168" s="50"/>
      <c r="CA168" s="50"/>
      <c r="CB168" s="50"/>
      <c r="CC168" s="50"/>
      <c r="CD168" s="50"/>
      <c r="CE168" s="50"/>
      <c r="CF168" s="50"/>
      <c r="CG168" s="50"/>
      <c r="CH168" s="50"/>
      <c r="CI168" s="50"/>
      <c r="CJ168" s="50"/>
      <c r="CK168" s="50"/>
      <c r="CL168" s="50"/>
      <c r="CM168" s="50"/>
      <c r="CN168" s="50"/>
      <c r="CO168" s="50"/>
      <c r="CP168" s="50"/>
      <c r="CQ168" s="50"/>
      <c r="CR168" s="50"/>
      <c r="CS168" s="50"/>
      <c r="CT168" s="50"/>
      <c r="CU168" s="50"/>
      <c r="CV168" s="50"/>
      <c r="CW168" s="50"/>
      <c r="CX168" s="50"/>
      <c r="CY168" s="50"/>
      <c r="CZ168" s="50"/>
      <c r="DA168" s="50"/>
      <c r="DB168" s="50"/>
      <c r="DC168" s="50"/>
      <c r="DD168" s="50"/>
    </row>
    <row r="169" spans="1:108" s="1" customFormat="1" ht="20.149999999999999" customHeight="1" outlineLevel="2">
      <c r="A169" s="302" t="s">
        <v>383</v>
      </c>
      <c r="B169" s="228" t="s">
        <v>217</v>
      </c>
      <c r="C169" s="227" t="str">
        <f>VLOOKUP(A169, 'NZS O&amp;G and CA100'!$B$7:$D$194, 3, FALSE)</f>
        <v>Disclosure</v>
      </c>
      <c r="D169" s="310">
        <f>IF(INDEX('NZS O&amp;G and CA100'!$D$5:$D$193, MATCH($A169, 'NZS O&amp;G and CA100'!$B$5:$B$193, 0)) =$B$4, INDEX('NZS O&amp;G and CA100'!$E$5:$N$193, MATCH($A169, 'NZS O&amp;G and CA100'!$B$5:$B$193, 0),MATCH(D$3, 'NZS O&amp;G and CA100'!$E$3:$N$3, 0)),"")</f>
        <v>1</v>
      </c>
      <c r="E169" s="311">
        <f>IF(INDEX('NZS O&amp;G and CA100'!$D$5:$D$193, MATCH($A169, 'NZS O&amp;G and CA100'!$B$5:$B$193, 0)) =$B$4, INDEX('NZS O&amp;G and CA100'!$E$5:$N$193, MATCH($A169, 'NZS O&amp;G and CA100'!$B$5:$B$193, 0),MATCH(E$3, 'NZS O&amp;G and CA100'!$E$3:$N$3, 0)),"")</f>
        <v>0</v>
      </c>
      <c r="F169" s="311">
        <f>IF(INDEX('NZS O&amp;G and CA100'!$D$5:$D$193, MATCH($A169, 'NZS O&amp;G and CA100'!$B$5:$B$193, 0)) =$B$4, INDEX('NZS O&amp;G and CA100'!$E$5:$N$193, MATCH($A169, 'NZS O&amp;G and CA100'!$B$5:$B$193, 0),MATCH(F$3, 'NZS O&amp;G and CA100'!$E$3:$N$3, 0)),"")</f>
        <v>1</v>
      </c>
      <c r="G169" s="311">
        <f>IF(INDEX('NZS O&amp;G and CA100'!$D$5:$D$193, MATCH($A169, 'NZS O&amp;G and CA100'!$B$5:$B$193, 0)) =$B$4, INDEX('NZS O&amp;G and CA100'!$E$5:$N$193, MATCH($A169, 'NZS O&amp;G and CA100'!$B$5:$B$193, 0),MATCH(G$3, 'NZS O&amp;G and CA100'!$E$3:$N$3, 0)),"")</f>
        <v>1</v>
      </c>
      <c r="H169" s="311">
        <f>IF(INDEX('NZS O&amp;G and CA100'!$D$5:$D$193, MATCH($A169, 'NZS O&amp;G and CA100'!$B$5:$B$193, 0)) =$B$4, INDEX('NZS O&amp;G and CA100'!$E$5:$N$193, MATCH($A169, 'NZS O&amp;G and CA100'!$B$5:$B$193, 0),MATCH(H$3, 'NZS O&amp;G and CA100'!$E$3:$N$3, 0)),"")</f>
        <v>1</v>
      </c>
      <c r="I169" s="311">
        <f>IF(INDEX('NZS O&amp;G and CA100'!$D$5:$D$193, MATCH($A169, 'NZS O&amp;G and CA100'!$B$5:$B$193, 0)) =$B$4, INDEX('NZS O&amp;G and CA100'!$E$5:$N$193, MATCH($A169, 'NZS O&amp;G and CA100'!$B$5:$B$193, 0),MATCH(I$3, 'NZS O&amp;G and CA100'!$E$3:$N$3, 0)),"")</f>
        <v>0</v>
      </c>
      <c r="J169" s="311">
        <f>IF(INDEX('NZS O&amp;G and CA100'!$D$5:$D$193, MATCH($A169, 'NZS O&amp;G and CA100'!$B$5:$B$193, 0)) =$B$4, INDEX('NZS O&amp;G and CA100'!$E$5:$N$193, MATCH($A169, 'NZS O&amp;G and CA100'!$B$5:$B$193, 0),MATCH(J$3, 'NZS O&amp;G and CA100'!$E$3:$N$3, 0)),"")</f>
        <v>1</v>
      </c>
      <c r="K169" s="311">
        <f>IF(INDEX('NZS O&amp;G and CA100'!$D$5:$D$193, MATCH($A169, 'NZS O&amp;G and CA100'!$B$5:$B$193, 0)) =$B$4, INDEX('NZS O&amp;G and CA100'!$E$5:$N$193, MATCH($A169, 'NZS O&amp;G and CA100'!$B$5:$B$193, 0),MATCH(K$3, 'NZS O&amp;G and CA100'!$E$3:$N$3, 0)),"")</f>
        <v>0</v>
      </c>
      <c r="L169" s="311">
        <f>IF(INDEX('NZS O&amp;G and CA100'!$D$5:$D$193, MATCH($A169, 'NZS O&amp;G and CA100'!$B$5:$B$193, 0)) =$B$4, INDEX('NZS O&amp;G and CA100'!$E$5:$N$193, MATCH($A169, 'NZS O&amp;G and CA100'!$B$5:$B$193, 0),MATCH(L$3, 'NZS O&amp;G and CA100'!$E$3:$N$3, 0)),"")</f>
        <v>0</v>
      </c>
      <c r="M169" s="312">
        <f>IF(INDEX('NZS O&amp;G and CA100'!$D$5:$D$193, MATCH($A169, 'NZS O&amp;G and CA100'!$B$5:$B$193, 0)) =$B$4, INDEX('NZS O&amp;G and CA100'!$E$5:$N$193, MATCH($A169, 'NZS O&amp;G and CA100'!$B$5:$B$193, 0),MATCH(M$3, 'NZS O&amp;G and CA100'!$E$3:$N$3, 0)),"")</f>
        <v>1</v>
      </c>
      <c r="O169" s="55"/>
      <c r="P169" s="56"/>
      <c r="Q169" s="56"/>
      <c r="R169" s="56"/>
      <c r="S169" s="56"/>
      <c r="T169" s="56"/>
      <c r="U169" s="56"/>
      <c r="V169" s="56"/>
      <c r="W169" s="56"/>
      <c r="X169" s="57"/>
      <c r="Z169" s="55"/>
      <c r="AA169" s="56"/>
      <c r="AB169" s="56"/>
      <c r="AC169" s="56"/>
      <c r="AD169" s="56"/>
      <c r="AE169" s="56"/>
      <c r="AF169" s="56"/>
      <c r="AG169" s="56"/>
      <c r="AH169" s="56"/>
      <c r="AI169" s="57"/>
      <c r="AK169" s="49"/>
      <c r="AL169" s="49"/>
      <c r="AM169" s="49"/>
      <c r="AN169" s="49"/>
      <c r="AO169" s="49"/>
      <c r="AP169" s="50"/>
      <c r="AQ169" s="50"/>
      <c r="AR169" s="50"/>
      <c r="AS169" s="50"/>
      <c r="AT169" s="50"/>
      <c r="AU169" s="50"/>
      <c r="AV169" s="50"/>
      <c r="AW169" s="50"/>
      <c r="AX169" s="50"/>
      <c r="AY169" s="50"/>
      <c r="AZ169" s="50"/>
      <c r="BA169" s="50"/>
      <c r="BB169" s="50"/>
      <c r="BC169" s="50"/>
      <c r="BD169" s="50"/>
      <c r="BE169" s="50"/>
      <c r="BF169" s="50"/>
      <c r="BG169" s="50"/>
      <c r="BH169" s="50"/>
      <c r="BI169" s="50"/>
      <c r="BJ169" s="50"/>
      <c r="BK169" s="50"/>
      <c r="BL169" s="50"/>
      <c r="BM169" s="50"/>
      <c r="BN169" s="50"/>
      <c r="BO169" s="50"/>
      <c r="BP169" s="50"/>
      <c r="BQ169" s="50"/>
      <c r="BR169" s="50"/>
      <c r="BS169" s="50"/>
      <c r="BT169" s="50"/>
      <c r="BU169" s="50"/>
      <c r="BV169" s="50"/>
      <c r="BW169" s="50"/>
      <c r="BX169" s="50"/>
      <c r="BY169" s="50"/>
      <c r="BZ169" s="50"/>
      <c r="CA169" s="50"/>
      <c r="CB169" s="50"/>
      <c r="CC169" s="50"/>
      <c r="CD169" s="50"/>
      <c r="CE169" s="50"/>
      <c r="CF169" s="50"/>
      <c r="CG169" s="50"/>
      <c r="CH169" s="50"/>
      <c r="CI169" s="50"/>
      <c r="CJ169" s="50"/>
      <c r="CK169" s="50"/>
      <c r="CL169" s="50"/>
      <c r="CM169" s="50"/>
      <c r="CN169" s="50"/>
      <c r="CO169" s="50"/>
      <c r="CP169" s="50"/>
      <c r="CQ169" s="50"/>
      <c r="CR169" s="50"/>
      <c r="CS169" s="50"/>
      <c r="CT169" s="50"/>
      <c r="CU169" s="50"/>
      <c r="CV169" s="50"/>
      <c r="CW169" s="50"/>
      <c r="CX169" s="50"/>
      <c r="CY169" s="50"/>
      <c r="CZ169" s="50"/>
      <c r="DA169" s="50"/>
      <c r="DB169" s="50"/>
      <c r="DC169" s="50"/>
      <c r="DD169" s="50"/>
    </row>
    <row r="170" spans="1:108" s="1" customFormat="1" ht="20.149999999999999" customHeight="1" outlineLevel="2">
      <c r="A170" s="302" t="s">
        <v>384</v>
      </c>
      <c r="B170" s="228" t="s">
        <v>218</v>
      </c>
      <c r="C170" s="227" t="str">
        <f>VLOOKUP(A170, 'NZS O&amp;G and CA100'!$B$7:$D$194, 3, FALSE)</f>
        <v>Disclosure</v>
      </c>
      <c r="D170" s="310">
        <f>IF(INDEX('NZS O&amp;G and CA100'!$D$5:$D$193, MATCH($A170, 'NZS O&amp;G and CA100'!$B$5:$B$193, 0)) =$B$4, INDEX('NZS O&amp;G and CA100'!$E$5:$N$193, MATCH($A170, 'NZS O&amp;G and CA100'!$B$5:$B$193, 0),MATCH(D$3, 'NZS O&amp;G and CA100'!$E$3:$N$3, 0)),"")</f>
        <v>1</v>
      </c>
      <c r="E170" s="311">
        <f>IF(INDEX('NZS O&amp;G and CA100'!$D$5:$D$193, MATCH($A170, 'NZS O&amp;G and CA100'!$B$5:$B$193, 0)) =$B$4, INDEX('NZS O&amp;G and CA100'!$E$5:$N$193, MATCH($A170, 'NZS O&amp;G and CA100'!$B$5:$B$193, 0),MATCH(E$3, 'NZS O&amp;G and CA100'!$E$3:$N$3, 0)),"")</f>
        <v>0</v>
      </c>
      <c r="F170" s="311">
        <f>IF(INDEX('NZS O&amp;G and CA100'!$D$5:$D$193, MATCH($A170, 'NZS O&amp;G and CA100'!$B$5:$B$193, 0)) =$B$4, INDEX('NZS O&amp;G and CA100'!$E$5:$N$193, MATCH($A170, 'NZS O&amp;G and CA100'!$B$5:$B$193, 0),MATCH(F$3, 'NZS O&amp;G and CA100'!$E$3:$N$3, 0)),"")</f>
        <v>0</v>
      </c>
      <c r="G170" s="311">
        <f>IF(INDEX('NZS O&amp;G and CA100'!$D$5:$D$193, MATCH($A170, 'NZS O&amp;G and CA100'!$B$5:$B$193, 0)) =$B$4, INDEX('NZS O&amp;G and CA100'!$E$5:$N$193, MATCH($A170, 'NZS O&amp;G and CA100'!$B$5:$B$193, 0),MATCH(G$3, 'NZS O&amp;G and CA100'!$E$3:$N$3, 0)),"")</f>
        <v>1</v>
      </c>
      <c r="H170" s="311">
        <f>IF(INDEX('NZS O&amp;G and CA100'!$D$5:$D$193, MATCH($A170, 'NZS O&amp;G and CA100'!$B$5:$B$193, 0)) =$B$4, INDEX('NZS O&amp;G and CA100'!$E$5:$N$193, MATCH($A170, 'NZS O&amp;G and CA100'!$B$5:$B$193, 0),MATCH(H$3, 'NZS O&amp;G and CA100'!$E$3:$N$3, 0)),"")</f>
        <v>0</v>
      </c>
      <c r="I170" s="311">
        <f>IF(INDEX('NZS O&amp;G and CA100'!$D$5:$D$193, MATCH($A170, 'NZS O&amp;G and CA100'!$B$5:$B$193, 0)) =$B$4, INDEX('NZS O&amp;G and CA100'!$E$5:$N$193, MATCH($A170, 'NZS O&amp;G and CA100'!$B$5:$B$193, 0),MATCH(I$3, 'NZS O&amp;G and CA100'!$E$3:$N$3, 0)),"")</f>
        <v>0</v>
      </c>
      <c r="J170" s="311">
        <f>IF(INDEX('NZS O&amp;G and CA100'!$D$5:$D$193, MATCH($A170, 'NZS O&amp;G and CA100'!$B$5:$B$193, 0)) =$B$4, INDEX('NZS O&amp;G and CA100'!$E$5:$N$193, MATCH($A170, 'NZS O&amp;G and CA100'!$B$5:$B$193, 0),MATCH(J$3, 'NZS O&amp;G and CA100'!$E$3:$N$3, 0)),"")</f>
        <v>1</v>
      </c>
      <c r="K170" s="311">
        <f>IF(INDEX('NZS O&amp;G and CA100'!$D$5:$D$193, MATCH($A170, 'NZS O&amp;G and CA100'!$B$5:$B$193, 0)) =$B$4, INDEX('NZS O&amp;G and CA100'!$E$5:$N$193, MATCH($A170, 'NZS O&amp;G and CA100'!$B$5:$B$193, 0),MATCH(K$3, 'NZS O&amp;G and CA100'!$E$3:$N$3, 0)),"")</f>
        <v>0</v>
      </c>
      <c r="L170" s="311">
        <f>IF(INDEX('NZS O&amp;G and CA100'!$D$5:$D$193, MATCH($A170, 'NZS O&amp;G and CA100'!$B$5:$B$193, 0)) =$B$4, INDEX('NZS O&amp;G and CA100'!$E$5:$N$193, MATCH($A170, 'NZS O&amp;G and CA100'!$B$5:$B$193, 0),MATCH(L$3, 'NZS O&amp;G and CA100'!$E$3:$N$3, 0)),"")</f>
        <v>0</v>
      </c>
      <c r="M170" s="312">
        <f>IF(INDEX('NZS O&amp;G and CA100'!$D$5:$D$193, MATCH($A170, 'NZS O&amp;G and CA100'!$B$5:$B$193, 0)) =$B$4, INDEX('NZS O&amp;G and CA100'!$E$5:$N$193, MATCH($A170, 'NZS O&amp;G and CA100'!$B$5:$B$193, 0),MATCH(M$3, 'NZS O&amp;G and CA100'!$E$3:$N$3, 0)),"")</f>
        <v>1</v>
      </c>
      <c r="O170" s="55"/>
      <c r="P170" s="56"/>
      <c r="Q170" s="56"/>
      <c r="R170" s="56"/>
      <c r="S170" s="56"/>
      <c r="T170" s="56"/>
      <c r="U170" s="56"/>
      <c r="V170" s="56"/>
      <c r="W170" s="56"/>
      <c r="X170" s="57"/>
      <c r="Z170" s="55"/>
      <c r="AA170" s="56"/>
      <c r="AB170" s="56"/>
      <c r="AC170" s="56"/>
      <c r="AD170" s="56"/>
      <c r="AE170" s="56"/>
      <c r="AF170" s="56"/>
      <c r="AG170" s="56"/>
      <c r="AH170" s="56"/>
      <c r="AI170" s="57"/>
      <c r="AK170" s="49"/>
      <c r="AL170" s="49"/>
      <c r="AM170" s="49"/>
      <c r="AN170" s="49"/>
      <c r="AO170" s="49"/>
      <c r="AP170" s="50"/>
      <c r="AQ170" s="50"/>
      <c r="AR170" s="50"/>
      <c r="AS170" s="50"/>
      <c r="AT170" s="50"/>
      <c r="AU170" s="50"/>
      <c r="AV170" s="50"/>
      <c r="AW170" s="50"/>
      <c r="AX170" s="50"/>
      <c r="AY170" s="50"/>
      <c r="AZ170" s="50"/>
      <c r="BA170" s="50"/>
      <c r="BB170" s="50"/>
      <c r="BC170" s="50"/>
      <c r="BD170" s="50"/>
      <c r="BE170" s="50"/>
      <c r="BF170" s="50"/>
      <c r="BG170" s="50"/>
      <c r="BH170" s="50"/>
      <c r="BI170" s="50"/>
      <c r="BJ170" s="50"/>
      <c r="BK170" s="50"/>
      <c r="BL170" s="50"/>
      <c r="BM170" s="50"/>
      <c r="BN170" s="50"/>
      <c r="BO170" s="50"/>
      <c r="BP170" s="50"/>
      <c r="BQ170" s="50"/>
      <c r="BR170" s="50"/>
      <c r="BS170" s="50"/>
      <c r="BT170" s="50"/>
      <c r="BU170" s="50"/>
      <c r="BV170" s="50"/>
      <c r="BW170" s="50"/>
      <c r="BX170" s="50"/>
      <c r="BY170" s="50"/>
      <c r="BZ170" s="50"/>
      <c r="CA170" s="50"/>
      <c r="CB170" s="50"/>
      <c r="CC170" s="50"/>
      <c r="CD170" s="50"/>
      <c r="CE170" s="50"/>
      <c r="CF170" s="50"/>
      <c r="CG170" s="50"/>
      <c r="CH170" s="50"/>
      <c r="CI170" s="50"/>
      <c r="CJ170" s="50"/>
      <c r="CK170" s="50"/>
      <c r="CL170" s="50"/>
      <c r="CM170" s="50"/>
      <c r="CN170" s="50"/>
      <c r="CO170" s="50"/>
      <c r="CP170" s="50"/>
      <c r="CQ170" s="50"/>
      <c r="CR170" s="50"/>
      <c r="CS170" s="50"/>
      <c r="CT170" s="50"/>
      <c r="CU170" s="50"/>
      <c r="CV170" s="50"/>
      <c r="CW170" s="50"/>
      <c r="CX170" s="50"/>
      <c r="CY170" s="50"/>
      <c r="CZ170" s="50"/>
      <c r="DA170" s="50"/>
      <c r="DB170" s="50"/>
      <c r="DC170" s="50"/>
      <c r="DD170" s="50"/>
    </row>
    <row r="171" spans="1:108" s="1" customFormat="1" ht="20.149999999999999" customHeight="1" outlineLevel="2">
      <c r="A171" s="302" t="s">
        <v>385</v>
      </c>
      <c r="B171" s="228" t="s">
        <v>219</v>
      </c>
      <c r="C171" s="227" t="str">
        <f>VLOOKUP(A171, 'NZS O&amp;G and CA100'!$B$7:$D$194, 3, FALSE)</f>
        <v>Disclosure</v>
      </c>
      <c r="D171" s="310">
        <f>IF(INDEX('NZS O&amp;G and CA100'!$D$5:$D$193, MATCH($A171, 'NZS O&amp;G and CA100'!$B$5:$B$193, 0)) =$B$4, INDEX('NZS O&amp;G and CA100'!$E$5:$N$193, MATCH($A171, 'NZS O&amp;G and CA100'!$B$5:$B$193, 0),MATCH(D$3, 'NZS O&amp;G and CA100'!$E$3:$N$3, 0)),"")</f>
        <v>0</v>
      </c>
      <c r="E171" s="311">
        <f>IF(INDEX('NZS O&amp;G and CA100'!$D$5:$D$193, MATCH($A171, 'NZS O&amp;G and CA100'!$B$5:$B$193, 0)) =$B$4, INDEX('NZS O&amp;G and CA100'!$E$5:$N$193, MATCH($A171, 'NZS O&amp;G and CA100'!$B$5:$B$193, 0),MATCH(E$3, 'NZS O&amp;G and CA100'!$E$3:$N$3, 0)),"")</f>
        <v>0</v>
      </c>
      <c r="F171" s="311">
        <f>IF(INDEX('NZS O&amp;G and CA100'!$D$5:$D$193, MATCH($A171, 'NZS O&amp;G and CA100'!$B$5:$B$193, 0)) =$B$4, INDEX('NZS O&amp;G and CA100'!$E$5:$N$193, MATCH($A171, 'NZS O&amp;G and CA100'!$B$5:$B$193, 0),MATCH(F$3, 'NZS O&amp;G and CA100'!$E$3:$N$3, 0)),"")</f>
        <v>0</v>
      </c>
      <c r="G171" s="311">
        <f>IF(INDEX('NZS O&amp;G and CA100'!$D$5:$D$193, MATCH($A171, 'NZS O&amp;G and CA100'!$B$5:$B$193, 0)) =$B$4, INDEX('NZS O&amp;G and CA100'!$E$5:$N$193, MATCH($A171, 'NZS O&amp;G and CA100'!$B$5:$B$193, 0),MATCH(G$3, 'NZS O&amp;G and CA100'!$E$3:$N$3, 0)),"")</f>
        <v>0</v>
      </c>
      <c r="H171" s="311">
        <f>IF(INDEX('NZS O&amp;G and CA100'!$D$5:$D$193, MATCH($A171, 'NZS O&amp;G and CA100'!$B$5:$B$193, 0)) =$B$4, INDEX('NZS O&amp;G and CA100'!$E$5:$N$193, MATCH($A171, 'NZS O&amp;G and CA100'!$B$5:$B$193, 0),MATCH(H$3, 'NZS O&amp;G and CA100'!$E$3:$N$3, 0)),"")</f>
        <v>0</v>
      </c>
      <c r="I171" s="311">
        <f>IF(INDEX('NZS O&amp;G and CA100'!$D$5:$D$193, MATCH($A171, 'NZS O&amp;G and CA100'!$B$5:$B$193, 0)) =$B$4, INDEX('NZS O&amp;G and CA100'!$E$5:$N$193, MATCH($A171, 'NZS O&amp;G and CA100'!$B$5:$B$193, 0),MATCH(I$3, 'NZS O&amp;G and CA100'!$E$3:$N$3, 0)),"")</f>
        <v>0</v>
      </c>
      <c r="J171" s="311">
        <f>IF(INDEX('NZS O&amp;G and CA100'!$D$5:$D$193, MATCH($A171, 'NZS O&amp;G and CA100'!$B$5:$B$193, 0)) =$B$4, INDEX('NZS O&amp;G and CA100'!$E$5:$N$193, MATCH($A171, 'NZS O&amp;G and CA100'!$B$5:$B$193, 0),MATCH(J$3, 'NZS O&amp;G and CA100'!$E$3:$N$3, 0)),"")</f>
        <v>1</v>
      </c>
      <c r="K171" s="311">
        <f>IF(INDEX('NZS O&amp;G and CA100'!$D$5:$D$193, MATCH($A171, 'NZS O&amp;G and CA100'!$B$5:$B$193, 0)) =$B$4, INDEX('NZS O&amp;G and CA100'!$E$5:$N$193, MATCH($A171, 'NZS O&amp;G and CA100'!$B$5:$B$193, 0),MATCH(K$3, 'NZS O&amp;G and CA100'!$E$3:$N$3, 0)),"")</f>
        <v>0</v>
      </c>
      <c r="L171" s="311">
        <f>IF(INDEX('NZS O&amp;G and CA100'!$D$5:$D$193, MATCH($A171, 'NZS O&amp;G and CA100'!$B$5:$B$193, 0)) =$B$4, INDEX('NZS O&amp;G and CA100'!$E$5:$N$193, MATCH($A171, 'NZS O&amp;G and CA100'!$B$5:$B$193, 0),MATCH(L$3, 'NZS O&amp;G and CA100'!$E$3:$N$3, 0)),"")</f>
        <v>0</v>
      </c>
      <c r="M171" s="312">
        <f>IF(INDEX('NZS O&amp;G and CA100'!$D$5:$D$193, MATCH($A171, 'NZS O&amp;G and CA100'!$B$5:$B$193, 0)) =$B$4, INDEX('NZS O&amp;G and CA100'!$E$5:$N$193, MATCH($A171, 'NZS O&amp;G and CA100'!$B$5:$B$193, 0),MATCH(M$3, 'NZS O&amp;G and CA100'!$E$3:$N$3, 0)),"")</f>
        <v>0</v>
      </c>
      <c r="O171" s="55"/>
      <c r="P171" s="56"/>
      <c r="Q171" s="56"/>
      <c r="R171" s="56"/>
      <c r="S171" s="56"/>
      <c r="T171" s="56"/>
      <c r="U171" s="56"/>
      <c r="V171" s="56"/>
      <c r="W171" s="56"/>
      <c r="X171" s="57"/>
      <c r="Z171" s="55"/>
      <c r="AA171" s="56"/>
      <c r="AB171" s="56"/>
      <c r="AC171" s="56"/>
      <c r="AD171" s="56"/>
      <c r="AE171" s="56"/>
      <c r="AF171" s="56"/>
      <c r="AG171" s="56"/>
      <c r="AH171" s="56"/>
      <c r="AI171" s="57"/>
      <c r="AK171" s="49"/>
      <c r="AL171" s="49"/>
      <c r="AM171" s="49"/>
      <c r="AN171" s="49"/>
      <c r="AO171" s="49"/>
      <c r="AP171" s="50"/>
      <c r="AQ171" s="50"/>
      <c r="AR171" s="50"/>
      <c r="AS171" s="50"/>
      <c r="AT171" s="50"/>
      <c r="AU171" s="50"/>
      <c r="AV171" s="50"/>
      <c r="AW171" s="50"/>
      <c r="AX171" s="50"/>
      <c r="AY171" s="50"/>
      <c r="AZ171" s="50"/>
      <c r="BA171" s="50"/>
      <c r="BB171" s="50"/>
      <c r="BC171" s="50"/>
      <c r="BD171" s="50"/>
      <c r="BE171" s="50"/>
      <c r="BF171" s="50"/>
      <c r="BG171" s="50"/>
      <c r="BH171" s="50"/>
      <c r="BI171" s="50"/>
      <c r="BJ171" s="50"/>
      <c r="BK171" s="50"/>
      <c r="BL171" s="50"/>
      <c r="BM171" s="50"/>
      <c r="BN171" s="50"/>
      <c r="BO171" s="50"/>
      <c r="BP171" s="50"/>
      <c r="BQ171" s="50"/>
      <c r="BR171" s="50"/>
      <c r="BS171" s="50"/>
      <c r="BT171" s="50"/>
      <c r="BU171" s="50"/>
      <c r="BV171" s="50"/>
      <c r="BW171" s="50"/>
      <c r="BX171" s="50"/>
      <c r="BY171" s="50"/>
      <c r="BZ171" s="50"/>
      <c r="CA171" s="50"/>
      <c r="CB171" s="50"/>
      <c r="CC171" s="50"/>
      <c r="CD171" s="50"/>
      <c r="CE171" s="50"/>
      <c r="CF171" s="50"/>
      <c r="CG171" s="50"/>
      <c r="CH171" s="50"/>
      <c r="CI171" s="50"/>
      <c r="CJ171" s="50"/>
      <c r="CK171" s="50"/>
      <c r="CL171" s="50"/>
      <c r="CM171" s="50"/>
      <c r="CN171" s="50"/>
      <c r="CO171" s="50"/>
      <c r="CP171" s="50"/>
      <c r="CQ171" s="50"/>
      <c r="CR171" s="50"/>
      <c r="CS171" s="50"/>
      <c r="CT171" s="50"/>
      <c r="CU171" s="50"/>
      <c r="CV171" s="50"/>
      <c r="CW171" s="50"/>
      <c r="CX171" s="50"/>
      <c r="CY171" s="50"/>
      <c r="CZ171" s="50"/>
      <c r="DA171" s="50"/>
      <c r="DB171" s="50"/>
      <c r="DC171" s="50"/>
      <c r="DD171" s="50"/>
    </row>
    <row r="172" spans="1:108" s="1" customFormat="1" ht="20.149999999999999" customHeight="1" outlineLevel="1">
      <c r="A172" s="302">
        <v>9.1999999999999993</v>
      </c>
      <c r="B172" s="226" t="s">
        <v>220</v>
      </c>
      <c r="C172" s="227" t="str">
        <f>VLOOKUP(A172, 'NZS O&amp;G and CA100'!$B$7:$D$194, 3, FALSE)</f>
        <v>Disclosure</v>
      </c>
      <c r="D172" s="310">
        <f>IF($B$4="Disclosure",(SUM(D173:D175)/COUNT(D173:D175)),"")</f>
        <v>0</v>
      </c>
      <c r="E172" s="311">
        <f t="shared" ref="E172:M172" si="44">IF($B$4="Disclosure",(SUM(E173:E175)/COUNT(E173:E175)),"")</f>
        <v>0</v>
      </c>
      <c r="F172" s="311">
        <f t="shared" si="44"/>
        <v>0</v>
      </c>
      <c r="G172" s="311">
        <f t="shared" si="44"/>
        <v>1</v>
      </c>
      <c r="H172" s="311">
        <f t="shared" si="44"/>
        <v>0</v>
      </c>
      <c r="I172" s="311">
        <f t="shared" si="44"/>
        <v>0</v>
      </c>
      <c r="J172" s="311">
        <f t="shared" si="44"/>
        <v>0.66666666666666663</v>
      </c>
      <c r="K172" s="311">
        <f t="shared" si="44"/>
        <v>0</v>
      </c>
      <c r="L172" s="311">
        <f t="shared" si="44"/>
        <v>0</v>
      </c>
      <c r="M172" s="312">
        <f t="shared" si="44"/>
        <v>0.33333333333333331</v>
      </c>
      <c r="O172" s="55"/>
      <c r="P172" s="56"/>
      <c r="Q172" s="56"/>
      <c r="R172" s="56"/>
      <c r="S172" s="56"/>
      <c r="T172" s="56"/>
      <c r="U172" s="56"/>
      <c r="V172" s="56"/>
      <c r="W172" s="56"/>
      <c r="X172" s="57"/>
      <c r="Z172" s="55"/>
      <c r="AA172" s="56"/>
      <c r="AB172" s="56"/>
      <c r="AC172" s="56"/>
      <c r="AD172" s="56"/>
      <c r="AE172" s="56"/>
      <c r="AF172" s="56"/>
      <c r="AG172" s="56"/>
      <c r="AH172" s="56"/>
      <c r="AI172" s="57"/>
      <c r="AK172" s="49"/>
      <c r="AL172" s="49"/>
      <c r="AM172" s="49"/>
      <c r="AN172" s="49"/>
      <c r="AO172" s="49"/>
      <c r="AP172" s="50"/>
      <c r="AQ172" s="50"/>
      <c r="AR172" s="50"/>
      <c r="AS172" s="50"/>
      <c r="AT172" s="50"/>
      <c r="AU172" s="50"/>
      <c r="AV172" s="50"/>
      <c r="AW172" s="50"/>
      <c r="AX172" s="50"/>
      <c r="AY172" s="50"/>
      <c r="AZ172" s="50"/>
      <c r="BA172" s="50"/>
      <c r="BB172" s="50"/>
      <c r="BC172" s="50"/>
      <c r="BD172" s="50"/>
      <c r="BE172" s="50"/>
      <c r="BF172" s="50"/>
      <c r="BG172" s="50"/>
      <c r="BH172" s="50"/>
      <c r="BI172" s="50"/>
      <c r="BJ172" s="50"/>
      <c r="BK172" s="50"/>
      <c r="BL172" s="50"/>
      <c r="BM172" s="50"/>
      <c r="BN172" s="50"/>
      <c r="BO172" s="50"/>
      <c r="BP172" s="50"/>
      <c r="BQ172" s="50"/>
      <c r="BR172" s="50"/>
      <c r="BS172" s="50"/>
      <c r="BT172" s="50"/>
      <c r="BU172" s="50"/>
      <c r="BV172" s="50"/>
      <c r="BW172" s="50"/>
      <c r="BX172" s="50"/>
      <c r="BY172" s="50"/>
      <c r="BZ172" s="50"/>
      <c r="CA172" s="50"/>
      <c r="CB172" s="50"/>
      <c r="CC172" s="50"/>
      <c r="CD172" s="50"/>
      <c r="CE172" s="50"/>
      <c r="CF172" s="50"/>
      <c r="CG172" s="50"/>
      <c r="CH172" s="50"/>
      <c r="CI172" s="50"/>
      <c r="CJ172" s="50"/>
      <c r="CK172" s="50"/>
      <c r="CL172" s="50"/>
      <c r="CM172" s="50"/>
      <c r="CN172" s="50"/>
      <c r="CO172" s="50"/>
      <c r="CP172" s="50"/>
      <c r="CQ172" s="50"/>
      <c r="CR172" s="50"/>
      <c r="CS172" s="50"/>
      <c r="CT172" s="50"/>
      <c r="CU172" s="50"/>
      <c r="CV172" s="50"/>
      <c r="CW172" s="50"/>
      <c r="CX172" s="50"/>
      <c r="CY172" s="50"/>
      <c r="CZ172" s="50"/>
      <c r="DA172" s="50"/>
      <c r="DB172" s="50"/>
      <c r="DC172" s="50"/>
      <c r="DD172" s="50"/>
    </row>
    <row r="173" spans="1:108" s="1" customFormat="1" ht="20.149999999999999" customHeight="1" outlineLevel="2">
      <c r="A173" s="302" t="s">
        <v>386</v>
      </c>
      <c r="B173" s="228" t="s">
        <v>221</v>
      </c>
      <c r="C173" s="227" t="str">
        <f>VLOOKUP(A173, 'NZS O&amp;G and CA100'!$B$7:$D$194, 3, FALSE)</f>
        <v>Disclosure</v>
      </c>
      <c r="D173" s="310">
        <f>IF(INDEX('NZS O&amp;G and CA100'!$D$5:$D$193, MATCH($A173, 'NZS O&amp;G and CA100'!$B$5:$B$193, 0)) =$B$4, INDEX('NZS O&amp;G and CA100'!$E$5:$N$193, MATCH($A173, 'NZS O&amp;G and CA100'!$B$5:$B$193, 0),MATCH(D$3, 'NZS O&amp;G and CA100'!$E$3:$N$3, 0)),"")</f>
        <v>0</v>
      </c>
      <c r="E173" s="311">
        <f>IF(INDEX('NZS O&amp;G and CA100'!$D$5:$D$193, MATCH($A173, 'NZS O&amp;G and CA100'!$B$5:$B$193, 0)) =$B$4, INDEX('NZS O&amp;G and CA100'!$E$5:$N$193, MATCH($A173, 'NZS O&amp;G and CA100'!$B$5:$B$193, 0),MATCH(E$3, 'NZS O&amp;G and CA100'!$E$3:$N$3, 0)),"")</f>
        <v>0</v>
      </c>
      <c r="F173" s="311">
        <f>IF(INDEX('NZS O&amp;G and CA100'!$D$5:$D$193, MATCH($A173, 'NZS O&amp;G and CA100'!$B$5:$B$193, 0)) =$B$4, INDEX('NZS O&amp;G and CA100'!$E$5:$N$193, MATCH($A173, 'NZS O&amp;G and CA100'!$B$5:$B$193, 0),MATCH(F$3, 'NZS O&amp;G and CA100'!$E$3:$N$3, 0)),"")</f>
        <v>0</v>
      </c>
      <c r="G173" s="311">
        <f>IF(INDEX('NZS O&amp;G and CA100'!$D$5:$D$193, MATCH($A173, 'NZS O&amp;G and CA100'!$B$5:$B$193, 0)) =$B$4, INDEX('NZS O&amp;G and CA100'!$E$5:$N$193, MATCH($A173, 'NZS O&amp;G and CA100'!$B$5:$B$193, 0),MATCH(G$3, 'NZS O&amp;G and CA100'!$E$3:$N$3, 0)),"")</f>
        <v>1</v>
      </c>
      <c r="H173" s="311">
        <f>IF(INDEX('NZS O&amp;G and CA100'!$D$5:$D$193, MATCH($A173, 'NZS O&amp;G and CA100'!$B$5:$B$193, 0)) =$B$4, INDEX('NZS O&amp;G and CA100'!$E$5:$N$193, MATCH($A173, 'NZS O&amp;G and CA100'!$B$5:$B$193, 0),MATCH(H$3, 'NZS O&amp;G and CA100'!$E$3:$N$3, 0)),"")</f>
        <v>0</v>
      </c>
      <c r="I173" s="311">
        <f>IF(INDEX('NZS O&amp;G and CA100'!$D$5:$D$193, MATCH($A173, 'NZS O&amp;G and CA100'!$B$5:$B$193, 0)) =$B$4, INDEX('NZS O&amp;G and CA100'!$E$5:$N$193, MATCH($A173, 'NZS O&amp;G and CA100'!$B$5:$B$193, 0),MATCH(I$3, 'NZS O&amp;G and CA100'!$E$3:$N$3, 0)),"")</f>
        <v>0</v>
      </c>
      <c r="J173" s="311">
        <f>IF(INDEX('NZS O&amp;G and CA100'!$D$5:$D$193, MATCH($A173, 'NZS O&amp;G and CA100'!$B$5:$B$193, 0)) =$B$4, INDEX('NZS O&amp;G and CA100'!$E$5:$N$193, MATCH($A173, 'NZS O&amp;G and CA100'!$B$5:$B$193, 0),MATCH(J$3, 'NZS O&amp;G and CA100'!$E$3:$N$3, 0)),"")</f>
        <v>1</v>
      </c>
      <c r="K173" s="311">
        <f>IF(INDEX('NZS O&amp;G and CA100'!$D$5:$D$193, MATCH($A173, 'NZS O&amp;G and CA100'!$B$5:$B$193, 0)) =$B$4, INDEX('NZS O&amp;G and CA100'!$E$5:$N$193, MATCH($A173, 'NZS O&amp;G and CA100'!$B$5:$B$193, 0),MATCH(K$3, 'NZS O&amp;G and CA100'!$E$3:$N$3, 0)),"")</f>
        <v>0</v>
      </c>
      <c r="L173" s="311">
        <f>IF(INDEX('NZS O&amp;G and CA100'!$D$5:$D$193, MATCH($A173, 'NZS O&amp;G and CA100'!$B$5:$B$193, 0)) =$B$4, INDEX('NZS O&amp;G and CA100'!$E$5:$N$193, MATCH($A173, 'NZS O&amp;G and CA100'!$B$5:$B$193, 0),MATCH(L$3, 'NZS O&amp;G and CA100'!$E$3:$N$3, 0)),"")</f>
        <v>0</v>
      </c>
      <c r="M173" s="312">
        <f>IF(INDEX('NZS O&amp;G and CA100'!$D$5:$D$193, MATCH($A173, 'NZS O&amp;G and CA100'!$B$5:$B$193, 0)) =$B$4, INDEX('NZS O&amp;G and CA100'!$E$5:$N$193, MATCH($A173, 'NZS O&amp;G and CA100'!$B$5:$B$193, 0),MATCH(M$3, 'NZS O&amp;G and CA100'!$E$3:$N$3, 0)),"")</f>
        <v>1</v>
      </c>
      <c r="O173" s="55"/>
      <c r="P173" s="56"/>
      <c r="Q173" s="56"/>
      <c r="R173" s="56"/>
      <c r="S173" s="56"/>
      <c r="T173" s="56"/>
      <c r="U173" s="56"/>
      <c r="V173" s="56"/>
      <c r="W173" s="56"/>
      <c r="X173" s="57"/>
      <c r="Z173" s="55"/>
      <c r="AA173" s="56"/>
      <c r="AB173" s="56"/>
      <c r="AC173" s="56"/>
      <c r="AD173" s="56"/>
      <c r="AE173" s="56"/>
      <c r="AF173" s="56"/>
      <c r="AG173" s="56"/>
      <c r="AH173" s="56"/>
      <c r="AI173" s="57"/>
      <c r="AK173" s="49"/>
      <c r="AL173" s="49"/>
      <c r="AM173" s="49"/>
      <c r="AN173" s="49"/>
      <c r="AO173" s="49"/>
      <c r="AP173" s="50"/>
      <c r="AQ173" s="50"/>
      <c r="AR173" s="50"/>
      <c r="AS173" s="50"/>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row>
    <row r="174" spans="1:108" s="1" customFormat="1" ht="20.149999999999999" customHeight="1" outlineLevel="2">
      <c r="A174" s="302" t="s">
        <v>387</v>
      </c>
      <c r="B174" s="228" t="s">
        <v>222</v>
      </c>
      <c r="C174" s="227" t="str">
        <f>VLOOKUP(A174, 'NZS O&amp;G and CA100'!$B$7:$D$194, 3, FALSE)</f>
        <v>Disclosure</v>
      </c>
      <c r="D174" s="310">
        <f>IF(INDEX('NZS O&amp;G and CA100'!$D$5:$D$193, MATCH($A174, 'NZS O&amp;G and CA100'!$B$5:$B$193, 0)) =$B$4, INDEX('NZS O&amp;G and CA100'!$E$5:$N$193, MATCH($A174, 'NZS O&amp;G and CA100'!$B$5:$B$193, 0),MATCH(D$3, 'NZS O&amp;G and CA100'!$E$3:$N$3, 0)),"")</f>
        <v>0</v>
      </c>
      <c r="E174" s="311">
        <f>IF(INDEX('NZS O&amp;G and CA100'!$D$5:$D$193, MATCH($A174, 'NZS O&amp;G and CA100'!$B$5:$B$193, 0)) =$B$4, INDEX('NZS O&amp;G and CA100'!$E$5:$N$193, MATCH($A174, 'NZS O&amp;G and CA100'!$B$5:$B$193, 0),MATCH(E$3, 'NZS O&amp;G and CA100'!$E$3:$N$3, 0)),"")</f>
        <v>0</v>
      </c>
      <c r="F174" s="311">
        <f>IF(INDEX('NZS O&amp;G and CA100'!$D$5:$D$193, MATCH($A174, 'NZS O&amp;G and CA100'!$B$5:$B$193, 0)) =$B$4, INDEX('NZS O&amp;G and CA100'!$E$5:$N$193, MATCH($A174, 'NZS O&amp;G and CA100'!$B$5:$B$193, 0),MATCH(F$3, 'NZS O&amp;G and CA100'!$E$3:$N$3, 0)),"")</f>
        <v>0</v>
      </c>
      <c r="G174" s="311">
        <f>IF(INDEX('NZS O&amp;G and CA100'!$D$5:$D$193, MATCH($A174, 'NZS O&amp;G and CA100'!$B$5:$B$193, 0)) =$B$4, INDEX('NZS O&amp;G and CA100'!$E$5:$N$193, MATCH($A174, 'NZS O&amp;G and CA100'!$B$5:$B$193, 0),MATCH(G$3, 'NZS O&amp;G and CA100'!$E$3:$N$3, 0)),"")</f>
        <v>1</v>
      </c>
      <c r="H174" s="311">
        <f>IF(INDEX('NZS O&amp;G and CA100'!$D$5:$D$193, MATCH($A174, 'NZS O&amp;G and CA100'!$B$5:$B$193, 0)) =$B$4, INDEX('NZS O&amp;G and CA100'!$E$5:$N$193, MATCH($A174, 'NZS O&amp;G and CA100'!$B$5:$B$193, 0),MATCH(H$3, 'NZS O&amp;G and CA100'!$E$3:$N$3, 0)),"")</f>
        <v>0</v>
      </c>
      <c r="I174" s="311">
        <f>IF(INDEX('NZS O&amp;G and CA100'!$D$5:$D$193, MATCH($A174, 'NZS O&amp;G and CA100'!$B$5:$B$193, 0)) =$B$4, INDEX('NZS O&amp;G and CA100'!$E$5:$N$193, MATCH($A174, 'NZS O&amp;G and CA100'!$B$5:$B$193, 0),MATCH(I$3, 'NZS O&amp;G and CA100'!$E$3:$N$3, 0)),"")</f>
        <v>0</v>
      </c>
      <c r="J174" s="311">
        <f>IF(INDEX('NZS O&amp;G and CA100'!$D$5:$D$193, MATCH($A174, 'NZS O&amp;G and CA100'!$B$5:$B$193, 0)) =$B$4, INDEX('NZS O&amp;G and CA100'!$E$5:$N$193, MATCH($A174, 'NZS O&amp;G and CA100'!$B$5:$B$193, 0),MATCH(J$3, 'NZS O&amp;G and CA100'!$E$3:$N$3, 0)),"")</f>
        <v>1</v>
      </c>
      <c r="K174" s="311">
        <f>IF(INDEX('NZS O&amp;G and CA100'!$D$5:$D$193, MATCH($A174, 'NZS O&amp;G and CA100'!$B$5:$B$193, 0)) =$B$4, INDEX('NZS O&amp;G and CA100'!$E$5:$N$193, MATCH($A174, 'NZS O&amp;G and CA100'!$B$5:$B$193, 0),MATCH(K$3, 'NZS O&amp;G and CA100'!$E$3:$N$3, 0)),"")</f>
        <v>0</v>
      </c>
      <c r="L174" s="311">
        <f>IF(INDEX('NZS O&amp;G and CA100'!$D$5:$D$193, MATCH($A174, 'NZS O&amp;G and CA100'!$B$5:$B$193, 0)) =$B$4, INDEX('NZS O&amp;G and CA100'!$E$5:$N$193, MATCH($A174, 'NZS O&amp;G and CA100'!$B$5:$B$193, 0),MATCH(L$3, 'NZS O&amp;G and CA100'!$E$3:$N$3, 0)),"")</f>
        <v>0</v>
      </c>
      <c r="M174" s="312">
        <f>IF(INDEX('NZS O&amp;G and CA100'!$D$5:$D$193, MATCH($A174, 'NZS O&amp;G and CA100'!$B$5:$B$193, 0)) =$B$4, INDEX('NZS O&amp;G and CA100'!$E$5:$N$193, MATCH($A174, 'NZS O&amp;G and CA100'!$B$5:$B$193, 0),MATCH(M$3, 'NZS O&amp;G and CA100'!$E$3:$N$3, 0)),"")</f>
        <v>0</v>
      </c>
      <c r="O174" s="55"/>
      <c r="P174" s="56"/>
      <c r="Q174" s="56"/>
      <c r="R174" s="56"/>
      <c r="S174" s="56"/>
      <c r="T174" s="56"/>
      <c r="U174" s="56"/>
      <c r="V174" s="56"/>
      <c r="W174" s="56"/>
      <c r="X174" s="57"/>
      <c r="Z174" s="55"/>
      <c r="AA174" s="56"/>
      <c r="AB174" s="56"/>
      <c r="AC174" s="56"/>
      <c r="AD174" s="56"/>
      <c r="AE174" s="56"/>
      <c r="AF174" s="56"/>
      <c r="AG174" s="56"/>
      <c r="AH174" s="56"/>
      <c r="AI174" s="57"/>
      <c r="AK174" s="49"/>
      <c r="AL174" s="49"/>
      <c r="AM174" s="49"/>
      <c r="AN174" s="49"/>
      <c r="AO174" s="49"/>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row>
    <row r="175" spans="1:108" s="1" customFormat="1" ht="20.149999999999999" customHeight="1" outlineLevel="2">
      <c r="A175" s="302" t="s">
        <v>388</v>
      </c>
      <c r="B175" s="228" t="s">
        <v>223</v>
      </c>
      <c r="C175" s="227" t="str">
        <f>VLOOKUP(A175, 'NZS O&amp;G and CA100'!$B$7:$D$194, 3, FALSE)</f>
        <v>Disclosure</v>
      </c>
      <c r="D175" s="310">
        <f>IF(INDEX('NZS O&amp;G and CA100'!$D$5:$D$193, MATCH($A175, 'NZS O&amp;G and CA100'!$B$5:$B$193, 0)) =$B$4, INDEX('NZS O&amp;G and CA100'!$E$5:$N$193, MATCH($A175, 'NZS O&amp;G and CA100'!$B$5:$B$193, 0),MATCH(D$3, 'NZS O&amp;G and CA100'!$E$3:$N$3, 0)),"")</f>
        <v>0</v>
      </c>
      <c r="E175" s="311">
        <f>IF(INDEX('NZS O&amp;G and CA100'!$D$5:$D$193, MATCH($A175, 'NZS O&amp;G and CA100'!$B$5:$B$193, 0)) =$B$4, INDEX('NZS O&amp;G and CA100'!$E$5:$N$193, MATCH($A175, 'NZS O&amp;G and CA100'!$B$5:$B$193, 0),MATCH(E$3, 'NZS O&amp;G and CA100'!$E$3:$N$3, 0)),"")</f>
        <v>0</v>
      </c>
      <c r="F175" s="311">
        <f>IF(INDEX('NZS O&amp;G and CA100'!$D$5:$D$193, MATCH($A175, 'NZS O&amp;G and CA100'!$B$5:$B$193, 0)) =$B$4, INDEX('NZS O&amp;G and CA100'!$E$5:$N$193, MATCH($A175, 'NZS O&amp;G and CA100'!$B$5:$B$193, 0),MATCH(F$3, 'NZS O&amp;G and CA100'!$E$3:$N$3, 0)),"")</f>
        <v>0</v>
      </c>
      <c r="G175" s="311">
        <f>IF(INDEX('NZS O&amp;G and CA100'!$D$5:$D$193, MATCH($A175, 'NZS O&amp;G and CA100'!$B$5:$B$193, 0)) =$B$4, INDEX('NZS O&amp;G and CA100'!$E$5:$N$193, MATCH($A175, 'NZS O&amp;G and CA100'!$B$5:$B$193, 0),MATCH(G$3, 'NZS O&amp;G and CA100'!$E$3:$N$3, 0)),"")</f>
        <v>1</v>
      </c>
      <c r="H175" s="311">
        <f>IF(INDEX('NZS O&amp;G and CA100'!$D$5:$D$193, MATCH($A175, 'NZS O&amp;G and CA100'!$B$5:$B$193, 0)) =$B$4, INDEX('NZS O&amp;G and CA100'!$E$5:$N$193, MATCH($A175, 'NZS O&amp;G and CA100'!$B$5:$B$193, 0),MATCH(H$3, 'NZS O&amp;G and CA100'!$E$3:$N$3, 0)),"")</f>
        <v>0</v>
      </c>
      <c r="I175" s="311">
        <f>IF(INDEX('NZS O&amp;G and CA100'!$D$5:$D$193, MATCH($A175, 'NZS O&amp;G and CA100'!$B$5:$B$193, 0)) =$B$4, INDEX('NZS O&amp;G and CA100'!$E$5:$N$193, MATCH($A175, 'NZS O&amp;G and CA100'!$B$5:$B$193, 0),MATCH(I$3, 'NZS O&amp;G and CA100'!$E$3:$N$3, 0)),"")</f>
        <v>0</v>
      </c>
      <c r="J175" s="311">
        <f>IF(INDEX('NZS O&amp;G and CA100'!$D$5:$D$193, MATCH($A175, 'NZS O&amp;G and CA100'!$B$5:$B$193, 0)) =$B$4, INDEX('NZS O&amp;G and CA100'!$E$5:$N$193, MATCH($A175, 'NZS O&amp;G and CA100'!$B$5:$B$193, 0),MATCH(J$3, 'NZS O&amp;G and CA100'!$E$3:$N$3, 0)),"")</f>
        <v>0</v>
      </c>
      <c r="K175" s="311">
        <f>IF(INDEX('NZS O&amp;G and CA100'!$D$5:$D$193, MATCH($A175, 'NZS O&amp;G and CA100'!$B$5:$B$193, 0)) =$B$4, INDEX('NZS O&amp;G and CA100'!$E$5:$N$193, MATCH($A175, 'NZS O&amp;G and CA100'!$B$5:$B$193, 0),MATCH(K$3, 'NZS O&amp;G and CA100'!$E$3:$N$3, 0)),"")</f>
        <v>0</v>
      </c>
      <c r="L175" s="311">
        <f>IF(INDEX('NZS O&amp;G and CA100'!$D$5:$D$193, MATCH($A175, 'NZS O&amp;G and CA100'!$B$5:$B$193, 0)) =$B$4, INDEX('NZS O&amp;G and CA100'!$E$5:$N$193, MATCH($A175, 'NZS O&amp;G and CA100'!$B$5:$B$193, 0),MATCH(L$3, 'NZS O&amp;G and CA100'!$E$3:$N$3, 0)),"")</f>
        <v>0</v>
      </c>
      <c r="M175" s="312">
        <f>IF(INDEX('NZS O&amp;G and CA100'!$D$5:$D$193, MATCH($A175, 'NZS O&amp;G and CA100'!$B$5:$B$193, 0)) =$B$4, INDEX('NZS O&amp;G and CA100'!$E$5:$N$193, MATCH($A175, 'NZS O&amp;G and CA100'!$B$5:$B$193, 0),MATCH(M$3, 'NZS O&amp;G and CA100'!$E$3:$N$3, 0)),"")</f>
        <v>0</v>
      </c>
      <c r="O175" s="55"/>
      <c r="P175" s="56"/>
      <c r="Q175" s="56"/>
      <c r="R175" s="56"/>
      <c r="S175" s="56"/>
      <c r="T175" s="56"/>
      <c r="U175" s="56"/>
      <c r="V175" s="56"/>
      <c r="W175" s="56"/>
      <c r="X175" s="57"/>
      <c r="Z175" s="55"/>
      <c r="AA175" s="56"/>
      <c r="AB175" s="56"/>
      <c r="AC175" s="56"/>
      <c r="AD175" s="56"/>
      <c r="AE175" s="56"/>
      <c r="AF175" s="56"/>
      <c r="AG175" s="56"/>
      <c r="AH175" s="56"/>
      <c r="AI175" s="57"/>
      <c r="AK175" s="49"/>
      <c r="AL175" s="49"/>
      <c r="AM175" s="49"/>
      <c r="AN175" s="49"/>
      <c r="AO175" s="49"/>
      <c r="AP175" s="50"/>
      <c r="AQ175" s="50"/>
      <c r="AR175" s="50"/>
      <c r="AS175" s="50"/>
      <c r="AT175" s="50"/>
      <c r="AU175" s="50"/>
      <c r="AV175" s="50"/>
      <c r="AW175" s="50"/>
      <c r="AX175" s="50"/>
      <c r="AY175" s="50"/>
      <c r="AZ175" s="50"/>
      <c r="BA175" s="50"/>
      <c r="BB175" s="50"/>
      <c r="BC175" s="50"/>
      <c r="BD175" s="50"/>
      <c r="BE175" s="50"/>
      <c r="BF175" s="50"/>
      <c r="BG175" s="50"/>
      <c r="BH175" s="50"/>
      <c r="BI175" s="50"/>
      <c r="BJ175" s="50"/>
      <c r="BK175" s="50"/>
      <c r="BL175" s="50"/>
      <c r="BM175" s="50"/>
      <c r="BN175" s="50"/>
      <c r="BO175" s="50"/>
      <c r="BP175" s="50"/>
      <c r="BQ175" s="50"/>
      <c r="BR175" s="50"/>
      <c r="BS175" s="50"/>
      <c r="BT175" s="50"/>
      <c r="BU175" s="50"/>
      <c r="BV175" s="50"/>
      <c r="BW175" s="50"/>
      <c r="BX175" s="50"/>
      <c r="BY175" s="50"/>
      <c r="BZ175" s="50"/>
      <c r="CA175" s="50"/>
      <c r="CB175" s="50"/>
      <c r="CC175" s="50"/>
      <c r="CD175" s="50"/>
      <c r="CE175" s="50"/>
      <c r="CF175" s="50"/>
      <c r="CG175" s="50"/>
      <c r="CH175" s="50"/>
      <c r="CI175" s="50"/>
      <c r="CJ175" s="50"/>
      <c r="CK175" s="50"/>
      <c r="CL175" s="50"/>
      <c r="CM175" s="50"/>
      <c r="CN175" s="50"/>
      <c r="CO175" s="50"/>
      <c r="CP175" s="50"/>
      <c r="CQ175" s="50"/>
      <c r="CR175" s="50"/>
      <c r="CS175" s="50"/>
      <c r="CT175" s="50"/>
      <c r="CU175" s="50"/>
      <c r="CV175" s="50"/>
      <c r="CW175" s="50"/>
      <c r="CX175" s="50"/>
      <c r="CY175" s="50"/>
      <c r="CZ175" s="50"/>
      <c r="DA175" s="50"/>
      <c r="DB175" s="50"/>
      <c r="DC175" s="50"/>
      <c r="DD175" s="50"/>
    </row>
    <row r="176" spans="1:108" s="1" customFormat="1" ht="6.65" customHeight="1" outlineLevel="1">
      <c r="A176" s="302"/>
      <c r="B176" s="226"/>
      <c r="C176" s="227"/>
      <c r="D176" s="55"/>
      <c r="E176" s="56"/>
      <c r="F176" s="56"/>
      <c r="G176" s="56"/>
      <c r="H176" s="56"/>
      <c r="I176" s="56"/>
      <c r="J176" s="56"/>
      <c r="K176" s="56"/>
      <c r="L176" s="56"/>
      <c r="M176" s="57"/>
      <c r="O176" s="55"/>
      <c r="P176" s="56"/>
      <c r="Q176" s="56"/>
      <c r="R176" s="56"/>
      <c r="S176" s="56"/>
      <c r="T176" s="56"/>
      <c r="U176" s="56"/>
      <c r="V176" s="56"/>
      <c r="W176" s="56"/>
      <c r="X176" s="57"/>
      <c r="Z176" s="55"/>
      <c r="AA176" s="56"/>
      <c r="AB176" s="56"/>
      <c r="AC176" s="56"/>
      <c r="AD176" s="56"/>
      <c r="AE176" s="56"/>
      <c r="AF176" s="56"/>
      <c r="AG176" s="56"/>
      <c r="AH176" s="56"/>
      <c r="AI176" s="57"/>
      <c r="AK176" s="49"/>
      <c r="AL176" s="49"/>
      <c r="AM176" s="49"/>
      <c r="AN176" s="49"/>
      <c r="AO176" s="49"/>
      <c r="AP176" s="50"/>
      <c r="AQ176" s="50"/>
      <c r="AR176" s="50"/>
      <c r="AS176" s="50"/>
      <c r="AT176" s="50"/>
      <c r="AU176" s="50"/>
      <c r="AV176" s="50"/>
      <c r="AW176" s="50"/>
      <c r="AX176" s="50"/>
      <c r="AY176" s="50"/>
      <c r="AZ176" s="50"/>
      <c r="BA176" s="50"/>
      <c r="BB176" s="50"/>
      <c r="BC176" s="50"/>
      <c r="BD176" s="50"/>
      <c r="BE176" s="50"/>
      <c r="BF176" s="50"/>
      <c r="BG176" s="50"/>
      <c r="BH176" s="50"/>
      <c r="BI176" s="50"/>
      <c r="BJ176" s="50"/>
      <c r="BK176" s="50"/>
      <c r="BL176" s="50"/>
      <c r="BM176" s="50"/>
      <c r="BN176" s="50"/>
      <c r="BO176" s="50"/>
      <c r="BP176" s="50"/>
      <c r="BQ176" s="50"/>
      <c r="BR176" s="50"/>
      <c r="BS176" s="50"/>
      <c r="BT176" s="50"/>
      <c r="BU176" s="50"/>
      <c r="BV176" s="50"/>
      <c r="BW176" s="50"/>
      <c r="BX176" s="50"/>
      <c r="BY176" s="50"/>
      <c r="BZ176" s="50"/>
      <c r="CA176" s="50"/>
      <c r="CB176" s="50"/>
      <c r="CC176" s="50"/>
      <c r="CD176" s="50"/>
      <c r="CE176" s="50"/>
      <c r="CF176" s="50"/>
      <c r="CG176" s="50"/>
      <c r="CH176" s="50"/>
      <c r="CI176" s="50"/>
      <c r="CJ176" s="50"/>
      <c r="CK176" s="50"/>
      <c r="CL176" s="50"/>
      <c r="CM176" s="50"/>
      <c r="CN176" s="50"/>
      <c r="CO176" s="50"/>
      <c r="CP176" s="50"/>
      <c r="CQ176" s="50"/>
      <c r="CR176" s="50"/>
      <c r="CS176" s="50"/>
      <c r="CT176" s="50"/>
      <c r="CU176" s="50"/>
      <c r="CV176" s="50"/>
      <c r="CW176" s="50"/>
      <c r="CX176" s="50"/>
      <c r="CY176" s="50"/>
      <c r="CZ176" s="50"/>
      <c r="DA176" s="50"/>
      <c r="DB176" s="50"/>
      <c r="DC176" s="50"/>
      <c r="DD176" s="50"/>
    </row>
    <row r="177" spans="1:108" s="1" customFormat="1" ht="18.649999999999999" customHeight="1" thickBot="1">
      <c r="A177" s="302"/>
      <c r="B177" s="242"/>
      <c r="C177" s="243"/>
      <c r="D177" s="58"/>
      <c r="E177" s="59"/>
      <c r="F177" s="59"/>
      <c r="G177" s="59"/>
      <c r="H177" s="59"/>
      <c r="I177" s="59"/>
      <c r="J177" s="59"/>
      <c r="K177" s="59"/>
      <c r="L177" s="59"/>
      <c r="M177" s="60"/>
      <c r="O177" s="58"/>
      <c r="P177" s="59"/>
      <c r="Q177" s="59"/>
      <c r="R177" s="59"/>
      <c r="S177" s="59"/>
      <c r="T177" s="59"/>
      <c r="U177" s="59"/>
      <c r="V177" s="59"/>
      <c r="W177" s="59"/>
      <c r="X177" s="60"/>
      <c r="Z177" s="58"/>
      <c r="AA177" s="59"/>
      <c r="AB177" s="59"/>
      <c r="AC177" s="59"/>
      <c r="AD177" s="59"/>
      <c r="AE177" s="59"/>
      <c r="AF177" s="59"/>
      <c r="AG177" s="59"/>
      <c r="AH177" s="59"/>
      <c r="AI177" s="60"/>
      <c r="AK177" s="49"/>
      <c r="AL177" s="49"/>
      <c r="AM177" s="49"/>
      <c r="AN177" s="49"/>
      <c r="AO177" s="49"/>
      <c r="AP177" s="50"/>
      <c r="AQ177" s="50"/>
      <c r="AR177" s="50"/>
      <c r="AS177" s="50"/>
      <c r="AT177" s="50"/>
      <c r="AU177" s="50"/>
      <c r="AV177" s="50"/>
      <c r="AW177" s="50"/>
      <c r="AX177" s="50"/>
      <c r="AY177" s="50"/>
      <c r="AZ177" s="50"/>
      <c r="BA177" s="50"/>
      <c r="BB177" s="50"/>
      <c r="BC177" s="50"/>
      <c r="BD177" s="50"/>
      <c r="BE177" s="50"/>
      <c r="BF177" s="50"/>
      <c r="BG177" s="50"/>
      <c r="BH177" s="50"/>
      <c r="BI177" s="50"/>
      <c r="BJ177" s="50"/>
      <c r="BK177" s="50"/>
      <c r="BL177" s="50"/>
      <c r="BM177" s="50"/>
      <c r="BN177" s="50"/>
      <c r="BO177" s="50"/>
      <c r="BP177" s="50"/>
      <c r="BQ177" s="50"/>
      <c r="BR177" s="50"/>
      <c r="BS177" s="50"/>
      <c r="BT177" s="50"/>
      <c r="BU177" s="50"/>
      <c r="BV177" s="50"/>
      <c r="BW177" s="50"/>
      <c r="BX177" s="50"/>
      <c r="BY177" s="50"/>
      <c r="BZ177" s="50"/>
      <c r="CA177" s="50"/>
      <c r="CB177" s="50"/>
      <c r="CC177" s="50"/>
      <c r="CD177" s="50"/>
      <c r="CE177" s="50"/>
      <c r="CF177" s="50"/>
      <c r="CG177" s="50"/>
      <c r="CH177" s="50"/>
      <c r="CI177" s="50"/>
      <c r="CJ177" s="50"/>
      <c r="CK177" s="50"/>
      <c r="CL177" s="50"/>
      <c r="CM177" s="50"/>
      <c r="CN177" s="50"/>
      <c r="CO177" s="50"/>
      <c r="CP177" s="50"/>
      <c r="CQ177" s="50"/>
      <c r="CR177" s="50"/>
      <c r="CS177" s="50"/>
      <c r="CT177" s="50"/>
      <c r="CU177" s="50"/>
      <c r="CV177" s="50"/>
      <c r="CW177" s="50"/>
      <c r="CX177" s="50"/>
      <c r="CY177" s="50"/>
      <c r="CZ177" s="50"/>
      <c r="DA177" s="50"/>
      <c r="DB177" s="50"/>
      <c r="DC177" s="50"/>
      <c r="DD177" s="50"/>
    </row>
    <row r="178" spans="1:108" s="1" customFormat="1" ht="18.649999999999999" customHeight="1">
      <c r="A178" s="302"/>
      <c r="B178" s="231" t="s">
        <v>81</v>
      </c>
      <c r="C178" s="232"/>
      <c r="D178" s="55"/>
      <c r="E178" s="56"/>
      <c r="F178" s="56"/>
      <c r="G178" s="56"/>
      <c r="H178" s="56"/>
      <c r="I178" s="56"/>
      <c r="J178" s="56"/>
      <c r="K178" s="56"/>
      <c r="L178" s="56"/>
      <c r="M178" s="57"/>
      <c r="O178" s="55"/>
      <c r="P178" s="56"/>
      <c r="Q178" s="56"/>
      <c r="R178" s="56"/>
      <c r="S178" s="56"/>
      <c r="T178" s="56"/>
      <c r="U178" s="56"/>
      <c r="V178" s="56"/>
      <c r="W178" s="56"/>
      <c r="X178" s="57"/>
      <c r="Z178" s="61"/>
      <c r="AA178" s="62"/>
      <c r="AB178" s="62"/>
      <c r="AC178" s="62"/>
      <c r="AD178" s="62"/>
      <c r="AE178" s="62"/>
      <c r="AF178" s="62"/>
      <c r="AG178" s="62"/>
      <c r="AH178" s="62"/>
      <c r="AI178" s="63"/>
      <c r="AK178" s="49"/>
      <c r="AL178" s="49"/>
      <c r="AM178" s="49"/>
      <c r="AN178" s="49"/>
      <c r="AO178" s="49"/>
      <c r="AP178" s="50"/>
      <c r="AQ178" s="50"/>
      <c r="AR178" s="50"/>
      <c r="AS178" s="50"/>
      <c r="AT178" s="50"/>
      <c r="AU178" s="50"/>
      <c r="AV178" s="50"/>
      <c r="AW178" s="50"/>
      <c r="AX178" s="50"/>
      <c r="AY178" s="50"/>
      <c r="AZ178" s="50"/>
      <c r="BA178" s="50"/>
      <c r="BB178" s="50"/>
      <c r="BC178" s="50"/>
      <c r="BD178" s="50"/>
      <c r="BE178" s="50"/>
      <c r="BF178" s="50"/>
      <c r="BG178" s="50"/>
      <c r="BH178" s="50"/>
      <c r="BI178" s="50"/>
      <c r="BJ178" s="50"/>
      <c r="BK178" s="50"/>
      <c r="BL178" s="50"/>
      <c r="BM178" s="50"/>
      <c r="BN178" s="50"/>
      <c r="BO178" s="50"/>
      <c r="BP178" s="50"/>
      <c r="BQ178" s="50"/>
      <c r="BR178" s="50"/>
      <c r="BS178" s="50"/>
      <c r="BT178" s="50"/>
      <c r="BU178" s="50"/>
      <c r="BV178" s="50"/>
      <c r="BW178" s="50"/>
      <c r="BX178" s="50"/>
      <c r="BY178" s="50"/>
      <c r="BZ178" s="50"/>
      <c r="CA178" s="50"/>
      <c r="CB178" s="50"/>
      <c r="CC178" s="50"/>
      <c r="CD178" s="50"/>
      <c r="CE178" s="50"/>
      <c r="CF178" s="50"/>
      <c r="CG178" s="50"/>
      <c r="CH178" s="50"/>
      <c r="CI178" s="50"/>
      <c r="CJ178" s="50"/>
      <c r="CK178" s="50"/>
      <c r="CL178" s="50"/>
      <c r="CM178" s="50"/>
      <c r="CN178" s="50"/>
      <c r="CO178" s="50"/>
      <c r="CP178" s="50"/>
      <c r="CQ178" s="50"/>
      <c r="CR178" s="50"/>
      <c r="CS178" s="50"/>
      <c r="CT178" s="50"/>
      <c r="CU178" s="50"/>
      <c r="CV178" s="50"/>
      <c r="CW178" s="50"/>
      <c r="CX178" s="50"/>
      <c r="CY178" s="50"/>
      <c r="CZ178" s="50"/>
      <c r="DA178" s="50"/>
      <c r="DB178" s="50"/>
      <c r="DC178" s="50"/>
      <c r="DD178" s="50"/>
    </row>
    <row r="179" spans="1:108" s="1" customFormat="1" ht="20.149999999999999" customHeight="1">
      <c r="A179" s="302">
        <v>10</v>
      </c>
      <c r="B179" s="376" t="s">
        <v>224</v>
      </c>
      <c r="C179" s="377"/>
      <c r="D179" s="307">
        <f>IF($B$4="Disclosure",(SUM(D180,D183,D186,D191)/COUNT(D180,D183,D186,D191)),"")</f>
        <v>0.66666666666666663</v>
      </c>
      <c r="E179" s="308">
        <f t="shared" ref="E179:L179" si="45">IF($B$4="Disclosure",(SUM(E180,E183,E186,E191)/COUNT(E180,E183,E186,E191)),"")</f>
        <v>0.54166666666666663</v>
      </c>
      <c r="F179" s="308">
        <f t="shared" si="45"/>
        <v>0.45833333333333331</v>
      </c>
      <c r="G179" s="308">
        <f t="shared" si="45"/>
        <v>0.6875</v>
      </c>
      <c r="H179" s="308">
        <f t="shared" si="45"/>
        <v>0.5</v>
      </c>
      <c r="I179" s="308">
        <f t="shared" si="45"/>
        <v>0.58333333333333337</v>
      </c>
      <c r="J179" s="308">
        <f t="shared" si="45"/>
        <v>0.64583333333333337</v>
      </c>
      <c r="K179" s="308">
        <f t="shared" si="45"/>
        <v>0.75</v>
      </c>
      <c r="L179" s="308">
        <f t="shared" si="45"/>
        <v>0.375</v>
      </c>
      <c r="M179" s="309">
        <f>IF($B$4="Disclosure",(SUM(M180,M183,M186,M191)/COUNT(M180,M183,M186,M191)),"")</f>
        <v>0.58333333333333337</v>
      </c>
      <c r="O179" s="55"/>
      <c r="P179" s="56"/>
      <c r="Q179" s="56"/>
      <c r="R179" s="56"/>
      <c r="S179" s="56"/>
      <c r="T179" s="56"/>
      <c r="U179" s="56"/>
      <c r="V179" s="56"/>
      <c r="W179" s="56"/>
      <c r="X179" s="57"/>
      <c r="Z179" s="55"/>
      <c r="AA179" s="56"/>
      <c r="AB179" s="56"/>
      <c r="AC179" s="56"/>
      <c r="AD179" s="56"/>
      <c r="AE179" s="56"/>
      <c r="AF179" s="56"/>
      <c r="AG179" s="56"/>
      <c r="AH179" s="56"/>
      <c r="AI179" s="57"/>
      <c r="AK179" s="49"/>
      <c r="AL179" s="49"/>
      <c r="AM179" s="49"/>
      <c r="AN179" s="49"/>
      <c r="AO179" s="49"/>
      <c r="AP179" s="50"/>
      <c r="AQ179" s="50"/>
      <c r="AR179" s="50"/>
      <c r="AS179" s="50"/>
      <c r="AT179" s="50"/>
      <c r="AU179" s="50"/>
      <c r="AV179" s="50"/>
      <c r="AW179" s="50"/>
      <c r="AX179" s="50"/>
      <c r="AY179" s="50"/>
      <c r="AZ179" s="50"/>
      <c r="BA179" s="50"/>
      <c r="BB179" s="50"/>
      <c r="BC179" s="50"/>
      <c r="BD179" s="50"/>
      <c r="BE179" s="50"/>
      <c r="BF179" s="50"/>
      <c r="BG179" s="50"/>
      <c r="BH179" s="50"/>
      <c r="BI179" s="50"/>
      <c r="BJ179" s="50"/>
      <c r="BK179" s="50"/>
      <c r="BL179" s="50"/>
      <c r="BM179" s="50"/>
      <c r="BN179" s="50"/>
      <c r="BO179" s="50"/>
      <c r="BP179" s="50"/>
      <c r="BQ179" s="50"/>
      <c r="BR179" s="50"/>
      <c r="BS179" s="50"/>
      <c r="BT179" s="50"/>
      <c r="BU179" s="50"/>
      <c r="BV179" s="50"/>
      <c r="BW179" s="50"/>
      <c r="BX179" s="50"/>
      <c r="BY179" s="50"/>
      <c r="BZ179" s="50"/>
      <c r="CA179" s="50"/>
      <c r="CB179" s="50"/>
      <c r="CC179" s="50"/>
      <c r="CD179" s="50"/>
      <c r="CE179" s="50"/>
      <c r="CF179" s="50"/>
      <c r="CG179" s="50"/>
      <c r="CH179" s="50"/>
      <c r="CI179" s="50"/>
      <c r="CJ179" s="50"/>
      <c r="CK179" s="50"/>
      <c r="CL179" s="50"/>
      <c r="CM179" s="50"/>
      <c r="CN179" s="50"/>
      <c r="CO179" s="50"/>
      <c r="CP179" s="50"/>
      <c r="CQ179" s="50"/>
      <c r="CR179" s="50"/>
      <c r="CS179" s="50"/>
      <c r="CT179" s="50"/>
      <c r="CU179" s="50"/>
      <c r="CV179" s="50"/>
      <c r="CW179" s="50"/>
      <c r="CX179" s="50"/>
      <c r="CY179" s="50"/>
      <c r="CZ179" s="50"/>
      <c r="DA179" s="50"/>
      <c r="DB179" s="50"/>
      <c r="DC179" s="50"/>
      <c r="DD179" s="50"/>
    </row>
    <row r="180" spans="1:108" s="1" customFormat="1" ht="20.149999999999999" customHeight="1" outlineLevel="1">
      <c r="A180" s="302">
        <v>10.1</v>
      </c>
      <c r="B180" s="226" t="s">
        <v>225</v>
      </c>
      <c r="C180" s="227" t="str">
        <f>VLOOKUP(A180, 'NZS O&amp;G and CA100'!$B$7:$D$194, 3, FALSE)</f>
        <v>Disclosure</v>
      </c>
      <c r="D180" s="310">
        <f>IF($B$4="Disclosure",(SUM(D181:D182)/COUNT(D181:D182)),"")</f>
        <v>1</v>
      </c>
      <c r="E180" s="311">
        <f t="shared" ref="E180:M180" si="46">IF($B$4="Disclosure",(SUM(E181:E182)/COUNT(E181:E182)),"")</f>
        <v>0</v>
      </c>
      <c r="F180" s="311">
        <f t="shared" si="46"/>
        <v>1</v>
      </c>
      <c r="G180" s="311">
        <f t="shared" si="46"/>
        <v>1</v>
      </c>
      <c r="H180" s="311">
        <f t="shared" si="46"/>
        <v>1</v>
      </c>
      <c r="I180" s="311">
        <f t="shared" si="46"/>
        <v>1</v>
      </c>
      <c r="J180" s="311">
        <f t="shared" si="46"/>
        <v>1</v>
      </c>
      <c r="K180" s="311">
        <f t="shared" si="46"/>
        <v>1</v>
      </c>
      <c r="L180" s="311">
        <f t="shared" si="46"/>
        <v>1</v>
      </c>
      <c r="M180" s="312">
        <f t="shared" si="46"/>
        <v>1</v>
      </c>
      <c r="O180" s="55"/>
      <c r="P180" s="56"/>
      <c r="Q180" s="56"/>
      <c r="R180" s="56"/>
      <c r="S180" s="56"/>
      <c r="T180" s="56"/>
      <c r="U180" s="56"/>
      <c r="V180" s="56"/>
      <c r="W180" s="56"/>
      <c r="X180" s="57"/>
      <c r="Z180" s="55"/>
      <c r="AA180" s="56"/>
      <c r="AB180" s="56"/>
      <c r="AC180" s="56"/>
      <c r="AD180" s="56"/>
      <c r="AE180" s="56"/>
      <c r="AF180" s="56"/>
      <c r="AG180" s="56"/>
      <c r="AH180" s="56"/>
      <c r="AI180" s="57"/>
      <c r="AK180" s="49"/>
      <c r="AL180" s="49"/>
      <c r="AM180" s="49"/>
      <c r="AN180" s="49"/>
      <c r="AO180" s="49"/>
      <c r="AP180" s="50"/>
      <c r="AQ180" s="50"/>
      <c r="AR180" s="50"/>
      <c r="AS180" s="50"/>
      <c r="AT180" s="50"/>
      <c r="AU180" s="50"/>
      <c r="AV180" s="50"/>
      <c r="AW180" s="50"/>
      <c r="AX180" s="50"/>
      <c r="AY180" s="50"/>
      <c r="AZ180" s="50"/>
      <c r="BA180" s="50"/>
      <c r="BB180" s="50"/>
      <c r="BC180" s="50"/>
      <c r="BD180" s="50"/>
      <c r="BE180" s="50"/>
      <c r="BF180" s="50"/>
      <c r="BG180" s="50"/>
      <c r="BH180" s="50"/>
      <c r="BI180" s="50"/>
      <c r="BJ180" s="50"/>
      <c r="BK180" s="50"/>
      <c r="BL180" s="50"/>
      <c r="BM180" s="50"/>
      <c r="BN180" s="50"/>
      <c r="BO180" s="50"/>
      <c r="BP180" s="50"/>
      <c r="BQ180" s="50"/>
      <c r="BR180" s="50"/>
      <c r="BS180" s="50"/>
      <c r="BT180" s="50"/>
      <c r="BU180" s="50"/>
      <c r="BV180" s="50"/>
      <c r="BW180" s="50"/>
      <c r="BX180" s="50"/>
      <c r="BY180" s="50"/>
      <c r="BZ180" s="50"/>
      <c r="CA180" s="50"/>
      <c r="CB180" s="50"/>
      <c r="CC180" s="50"/>
      <c r="CD180" s="50"/>
      <c r="CE180" s="50"/>
      <c r="CF180" s="50"/>
      <c r="CG180" s="50"/>
      <c r="CH180" s="50"/>
      <c r="CI180" s="50"/>
      <c r="CJ180" s="50"/>
      <c r="CK180" s="50"/>
      <c r="CL180" s="50"/>
      <c r="CM180" s="50"/>
      <c r="CN180" s="50"/>
      <c r="CO180" s="50"/>
      <c r="CP180" s="50"/>
      <c r="CQ180" s="50"/>
      <c r="CR180" s="50"/>
      <c r="CS180" s="50"/>
      <c r="CT180" s="50"/>
      <c r="CU180" s="50"/>
      <c r="CV180" s="50"/>
      <c r="CW180" s="50"/>
      <c r="CX180" s="50"/>
      <c r="CY180" s="50"/>
      <c r="CZ180" s="50"/>
      <c r="DA180" s="50"/>
      <c r="DB180" s="50"/>
      <c r="DC180" s="50"/>
      <c r="DD180" s="50"/>
    </row>
    <row r="181" spans="1:108" s="1" customFormat="1" ht="20.149999999999999" customHeight="1" outlineLevel="2">
      <c r="A181" s="302" t="s">
        <v>226</v>
      </c>
      <c r="B181" s="228" t="s">
        <v>227</v>
      </c>
      <c r="C181" s="227" t="str">
        <f>VLOOKUP(A181, 'NZS O&amp;G and CA100'!$B$7:$D$194, 3, FALSE)</f>
        <v>Disclosure</v>
      </c>
      <c r="D181" s="310">
        <f>IF(INDEX('NZS O&amp;G and CA100'!$D$5:$D$193, MATCH($A181, 'NZS O&amp;G and CA100'!$B$5:$B$193, 0)) =$B$4, INDEX('NZS O&amp;G and CA100'!$E$5:$N$193, MATCH($A181, 'NZS O&amp;G and CA100'!$B$5:$B$193, 0),MATCH(D$3, 'NZS O&amp;G and CA100'!$E$3:$N$3, 0)),"")</f>
        <v>1</v>
      </c>
      <c r="E181" s="311">
        <f>IF(INDEX('NZS O&amp;G and CA100'!$D$5:$D$193, MATCH($A181, 'NZS O&amp;G and CA100'!$B$5:$B$193, 0)) =$B$4, INDEX('NZS O&amp;G and CA100'!$E$5:$N$193, MATCH($A181, 'NZS O&amp;G and CA100'!$B$5:$B$193, 0),MATCH(E$3, 'NZS O&amp;G and CA100'!$E$3:$N$3, 0)),"")</f>
        <v>0</v>
      </c>
      <c r="F181" s="311">
        <f>IF(INDEX('NZS O&amp;G and CA100'!$D$5:$D$193, MATCH($A181, 'NZS O&amp;G and CA100'!$B$5:$B$193, 0)) =$B$4, INDEX('NZS O&amp;G and CA100'!$E$5:$N$193, MATCH($A181, 'NZS O&amp;G and CA100'!$B$5:$B$193, 0),MATCH(F$3, 'NZS O&amp;G and CA100'!$E$3:$N$3, 0)),"")</f>
        <v>1</v>
      </c>
      <c r="G181" s="311">
        <f>IF(INDEX('NZS O&amp;G and CA100'!$D$5:$D$193, MATCH($A181, 'NZS O&amp;G and CA100'!$B$5:$B$193, 0)) =$B$4, INDEX('NZS O&amp;G and CA100'!$E$5:$N$193, MATCH($A181, 'NZS O&amp;G and CA100'!$B$5:$B$193, 0),MATCH(G$3, 'NZS O&amp;G and CA100'!$E$3:$N$3, 0)),"")</f>
        <v>1</v>
      </c>
      <c r="H181" s="311">
        <f>IF(INDEX('NZS O&amp;G and CA100'!$D$5:$D$193, MATCH($A181, 'NZS O&amp;G and CA100'!$B$5:$B$193, 0)) =$B$4, INDEX('NZS O&amp;G and CA100'!$E$5:$N$193, MATCH($A181, 'NZS O&amp;G and CA100'!$B$5:$B$193, 0),MATCH(H$3, 'NZS O&amp;G and CA100'!$E$3:$N$3, 0)),"")</f>
        <v>1</v>
      </c>
      <c r="I181" s="311">
        <f>IF(INDEX('NZS O&amp;G and CA100'!$D$5:$D$193, MATCH($A181, 'NZS O&amp;G and CA100'!$B$5:$B$193, 0)) =$B$4, INDEX('NZS O&amp;G and CA100'!$E$5:$N$193, MATCH($A181, 'NZS O&amp;G and CA100'!$B$5:$B$193, 0),MATCH(I$3, 'NZS O&amp;G and CA100'!$E$3:$N$3, 0)),"")</f>
        <v>1</v>
      </c>
      <c r="J181" s="311">
        <f>IF(INDEX('NZS O&amp;G and CA100'!$D$5:$D$193, MATCH($A181, 'NZS O&amp;G and CA100'!$B$5:$B$193, 0)) =$B$4, INDEX('NZS O&amp;G and CA100'!$E$5:$N$193, MATCH($A181, 'NZS O&amp;G and CA100'!$B$5:$B$193, 0),MATCH(J$3, 'NZS O&amp;G and CA100'!$E$3:$N$3, 0)),"")</f>
        <v>1</v>
      </c>
      <c r="K181" s="311">
        <f>IF(INDEX('NZS O&amp;G and CA100'!$D$5:$D$193, MATCH($A181, 'NZS O&amp;G and CA100'!$B$5:$B$193, 0)) =$B$4, INDEX('NZS O&amp;G and CA100'!$E$5:$N$193, MATCH($A181, 'NZS O&amp;G and CA100'!$B$5:$B$193, 0),MATCH(K$3, 'NZS O&amp;G and CA100'!$E$3:$N$3, 0)),"")</f>
        <v>1</v>
      </c>
      <c r="L181" s="311">
        <f>IF(INDEX('NZS O&amp;G and CA100'!$D$5:$D$193, MATCH($A181, 'NZS O&amp;G and CA100'!$B$5:$B$193, 0)) =$B$4, INDEX('NZS O&amp;G and CA100'!$E$5:$N$193, MATCH($A181, 'NZS O&amp;G and CA100'!$B$5:$B$193, 0),MATCH(L$3, 'NZS O&amp;G and CA100'!$E$3:$N$3, 0)),"")</f>
        <v>1</v>
      </c>
      <c r="M181" s="312">
        <f>IF(INDEX('NZS O&amp;G and CA100'!$D$5:$D$193, MATCH($A181, 'NZS O&amp;G and CA100'!$B$5:$B$193, 0)) =$B$4, INDEX('NZS O&amp;G and CA100'!$E$5:$N$193, MATCH($A181, 'NZS O&amp;G and CA100'!$B$5:$B$193, 0),MATCH(M$3, 'NZS O&amp;G and CA100'!$E$3:$N$3, 0)),"")</f>
        <v>1</v>
      </c>
      <c r="O181" s="55"/>
      <c r="P181" s="56"/>
      <c r="Q181" s="56"/>
      <c r="R181" s="56"/>
      <c r="S181" s="56"/>
      <c r="T181" s="56"/>
      <c r="U181" s="56"/>
      <c r="V181" s="56"/>
      <c r="W181" s="56"/>
      <c r="X181" s="57"/>
      <c r="Z181" s="55"/>
      <c r="AA181" s="56"/>
      <c r="AB181" s="56"/>
      <c r="AC181" s="56"/>
      <c r="AD181" s="56"/>
      <c r="AE181" s="56"/>
      <c r="AF181" s="56"/>
      <c r="AG181" s="56"/>
      <c r="AH181" s="56"/>
      <c r="AI181" s="57"/>
      <c r="AK181" s="49"/>
      <c r="AL181" s="49"/>
      <c r="AM181" s="49"/>
      <c r="AN181" s="49"/>
      <c r="AO181" s="49"/>
      <c r="AP181" s="50"/>
      <c r="AQ181" s="50"/>
      <c r="AR181" s="50"/>
      <c r="AS181" s="50"/>
      <c r="AT181" s="50"/>
      <c r="AU181" s="50"/>
      <c r="AV181" s="50"/>
      <c r="AW181" s="50"/>
      <c r="AX181" s="50"/>
      <c r="AY181" s="50"/>
      <c r="AZ181" s="50"/>
      <c r="BA181" s="50"/>
      <c r="BB181" s="50"/>
      <c r="BC181" s="50"/>
      <c r="BD181" s="50"/>
      <c r="BE181" s="50"/>
      <c r="BF181" s="50"/>
      <c r="BG181" s="50"/>
      <c r="BH181" s="50"/>
      <c r="BI181" s="50"/>
      <c r="BJ181" s="50"/>
      <c r="BK181" s="50"/>
      <c r="BL181" s="50"/>
      <c r="BM181" s="50"/>
      <c r="BN181" s="50"/>
      <c r="BO181" s="50"/>
      <c r="BP181" s="50"/>
      <c r="BQ181" s="50"/>
      <c r="BR181" s="50"/>
      <c r="BS181" s="50"/>
      <c r="BT181" s="50"/>
      <c r="BU181" s="50"/>
      <c r="BV181" s="50"/>
      <c r="BW181" s="50"/>
      <c r="BX181" s="50"/>
      <c r="BY181" s="50"/>
      <c r="BZ181" s="50"/>
      <c r="CA181" s="50"/>
      <c r="CB181" s="50"/>
      <c r="CC181" s="50"/>
      <c r="CD181" s="50"/>
      <c r="CE181" s="50"/>
      <c r="CF181" s="50"/>
      <c r="CG181" s="50"/>
      <c r="CH181" s="50"/>
      <c r="CI181" s="50"/>
      <c r="CJ181" s="50"/>
      <c r="CK181" s="50"/>
      <c r="CL181" s="50"/>
      <c r="CM181" s="50"/>
      <c r="CN181" s="50"/>
      <c r="CO181" s="50"/>
      <c r="CP181" s="50"/>
      <c r="CQ181" s="50"/>
      <c r="CR181" s="50"/>
      <c r="CS181" s="50"/>
      <c r="CT181" s="50"/>
      <c r="CU181" s="50"/>
      <c r="CV181" s="50"/>
      <c r="CW181" s="50"/>
      <c r="CX181" s="50"/>
      <c r="CY181" s="50"/>
      <c r="CZ181" s="50"/>
      <c r="DA181" s="50"/>
      <c r="DB181" s="50"/>
      <c r="DC181" s="50"/>
      <c r="DD181" s="50"/>
    </row>
    <row r="182" spans="1:108" s="1" customFormat="1" ht="20.149999999999999" customHeight="1" outlineLevel="2">
      <c r="A182" s="302" t="s">
        <v>228</v>
      </c>
      <c r="B182" s="228" t="s">
        <v>229</v>
      </c>
      <c r="C182" s="227" t="str">
        <f>VLOOKUP(A182, 'NZS O&amp;G and CA100'!$B$7:$D$194, 3, FALSE)</f>
        <v>Disclosure</v>
      </c>
      <c r="D182" s="310">
        <f>IF(INDEX('NZS O&amp;G and CA100'!$D$5:$D$193, MATCH($A182, 'NZS O&amp;G and CA100'!$B$5:$B$193, 0)) =$B$4, INDEX('NZS O&amp;G and CA100'!$E$5:$N$193, MATCH($A182, 'NZS O&amp;G and CA100'!$B$5:$B$193, 0),MATCH(D$3, 'NZS O&amp;G and CA100'!$E$3:$N$3, 0)),"")</f>
        <v>1</v>
      </c>
      <c r="E182" s="311">
        <f>IF(INDEX('NZS O&amp;G and CA100'!$D$5:$D$193, MATCH($A182, 'NZS O&amp;G and CA100'!$B$5:$B$193, 0)) =$B$4, INDEX('NZS O&amp;G and CA100'!$E$5:$N$193, MATCH($A182, 'NZS O&amp;G and CA100'!$B$5:$B$193, 0),MATCH(E$3, 'NZS O&amp;G and CA100'!$E$3:$N$3, 0)),"")</f>
        <v>0</v>
      </c>
      <c r="F182" s="311">
        <f>IF(INDEX('NZS O&amp;G and CA100'!$D$5:$D$193, MATCH($A182, 'NZS O&amp;G and CA100'!$B$5:$B$193, 0)) =$B$4, INDEX('NZS O&amp;G and CA100'!$E$5:$N$193, MATCH($A182, 'NZS O&amp;G and CA100'!$B$5:$B$193, 0),MATCH(F$3, 'NZS O&amp;G and CA100'!$E$3:$N$3, 0)),"")</f>
        <v>1</v>
      </c>
      <c r="G182" s="311">
        <f>IF(INDEX('NZS O&amp;G and CA100'!$D$5:$D$193, MATCH($A182, 'NZS O&amp;G and CA100'!$B$5:$B$193, 0)) =$B$4, INDEX('NZS O&amp;G and CA100'!$E$5:$N$193, MATCH($A182, 'NZS O&amp;G and CA100'!$B$5:$B$193, 0),MATCH(G$3, 'NZS O&amp;G and CA100'!$E$3:$N$3, 0)),"")</f>
        <v>1</v>
      </c>
      <c r="H182" s="311">
        <f>IF(INDEX('NZS O&amp;G and CA100'!$D$5:$D$193, MATCH($A182, 'NZS O&amp;G and CA100'!$B$5:$B$193, 0)) =$B$4, INDEX('NZS O&amp;G and CA100'!$E$5:$N$193, MATCH($A182, 'NZS O&amp;G and CA100'!$B$5:$B$193, 0),MATCH(H$3, 'NZS O&amp;G and CA100'!$E$3:$N$3, 0)),"")</f>
        <v>1</v>
      </c>
      <c r="I182" s="311">
        <f>IF(INDEX('NZS O&amp;G and CA100'!$D$5:$D$193, MATCH($A182, 'NZS O&amp;G and CA100'!$B$5:$B$193, 0)) =$B$4, INDEX('NZS O&amp;G and CA100'!$E$5:$N$193, MATCH($A182, 'NZS O&amp;G and CA100'!$B$5:$B$193, 0),MATCH(I$3, 'NZS O&amp;G and CA100'!$E$3:$N$3, 0)),"")</f>
        <v>1</v>
      </c>
      <c r="J182" s="311">
        <f>IF(INDEX('NZS O&amp;G and CA100'!$D$5:$D$193, MATCH($A182, 'NZS O&amp;G and CA100'!$B$5:$B$193, 0)) =$B$4, INDEX('NZS O&amp;G and CA100'!$E$5:$N$193, MATCH($A182, 'NZS O&amp;G and CA100'!$B$5:$B$193, 0),MATCH(J$3, 'NZS O&amp;G and CA100'!$E$3:$N$3, 0)),"")</f>
        <v>1</v>
      </c>
      <c r="K182" s="311">
        <f>IF(INDEX('NZS O&amp;G and CA100'!$D$5:$D$193, MATCH($A182, 'NZS O&amp;G and CA100'!$B$5:$B$193, 0)) =$B$4, INDEX('NZS O&amp;G and CA100'!$E$5:$N$193, MATCH($A182, 'NZS O&amp;G and CA100'!$B$5:$B$193, 0),MATCH(K$3, 'NZS O&amp;G and CA100'!$E$3:$N$3, 0)),"")</f>
        <v>1</v>
      </c>
      <c r="L182" s="311">
        <f>IF(INDEX('NZS O&amp;G and CA100'!$D$5:$D$193, MATCH($A182, 'NZS O&amp;G and CA100'!$B$5:$B$193, 0)) =$B$4, INDEX('NZS O&amp;G and CA100'!$E$5:$N$193, MATCH($A182, 'NZS O&amp;G and CA100'!$B$5:$B$193, 0),MATCH(L$3, 'NZS O&amp;G and CA100'!$E$3:$N$3, 0)),"")</f>
        <v>1</v>
      </c>
      <c r="M182" s="312">
        <f>IF(INDEX('NZS O&amp;G and CA100'!$D$5:$D$193, MATCH($A182, 'NZS O&amp;G and CA100'!$B$5:$B$193, 0)) =$B$4, INDEX('NZS O&amp;G and CA100'!$E$5:$N$193, MATCH($A182, 'NZS O&amp;G and CA100'!$B$5:$B$193, 0),MATCH(M$3, 'NZS O&amp;G and CA100'!$E$3:$N$3, 0)),"")</f>
        <v>1</v>
      </c>
      <c r="O182" s="55" t="str">
        <f>IF(INDEX('NZS O&amp;G and CA100'!$D$5:$D$193, MATCH($A182, 'NZS O&amp;G and CA100'!$B$5:$B$193, 0)) = "Alignment", INDEX('NZS O&amp;G and CA100'!$E$5:$N$193, MATCH($A182, 'NZS O&amp;G and CA100'!$B$5:$B$193, 0),MATCH(O$4, 'NZS O&amp;G and CA100'!$E$3:$N$3, 0)),"")</f>
        <v/>
      </c>
      <c r="P182" s="56" t="str">
        <f>IF(INDEX('NZS O&amp;G and CA100'!$D$5:$D$193, MATCH($A182, 'NZS O&amp;G and CA100'!$B$5:$B$193, 0)) = "Alignment", INDEX('NZS O&amp;G and CA100'!$E$5:$N$193, MATCH($A182, 'NZS O&amp;G and CA100'!$B$5:$B$193, 0),MATCH(P$4, 'NZS O&amp;G and CA100'!$E$3:$N$3, 0)),"")</f>
        <v/>
      </c>
      <c r="Q182" s="56" t="str">
        <f>IF(INDEX('NZS O&amp;G and CA100'!$D$5:$D$193, MATCH($A182, 'NZS O&amp;G and CA100'!$B$5:$B$193, 0)) = "Alignment", INDEX('NZS O&amp;G and CA100'!$E$5:$N$193, MATCH($A182, 'NZS O&amp;G and CA100'!$B$5:$B$193, 0),MATCH(Q$4, 'NZS O&amp;G and CA100'!$E$3:$N$3, 0)),"")</f>
        <v/>
      </c>
      <c r="R182" s="56" t="str">
        <f>IF(INDEX('NZS O&amp;G and CA100'!$D$5:$D$193, MATCH($A182, 'NZS O&amp;G and CA100'!$B$5:$B$193, 0)) = "Alignment", INDEX('NZS O&amp;G and CA100'!$E$5:$N$193, MATCH($A182, 'NZS O&amp;G and CA100'!$B$5:$B$193, 0),MATCH(R$4, 'NZS O&amp;G and CA100'!$E$3:$N$3, 0)),"")</f>
        <v/>
      </c>
      <c r="S182" s="56" t="str">
        <f>IF(INDEX('NZS O&amp;G and CA100'!$D$5:$D$193, MATCH($A182, 'NZS O&amp;G and CA100'!$B$5:$B$193, 0)) = "Alignment", INDEX('NZS O&amp;G and CA100'!$E$5:$N$193, MATCH($A182, 'NZS O&amp;G and CA100'!$B$5:$B$193, 0),MATCH(S$4, 'NZS O&amp;G and CA100'!$E$3:$N$3, 0)),"")</f>
        <v/>
      </c>
      <c r="T182" s="56" t="str">
        <f>IF(INDEX('NZS O&amp;G and CA100'!$D$5:$D$193, MATCH($A182, 'NZS O&amp;G and CA100'!$B$5:$B$193, 0)) = "Alignment", INDEX('NZS O&amp;G and CA100'!$E$5:$N$193, MATCH($A182, 'NZS O&amp;G and CA100'!$B$5:$B$193, 0),MATCH(T$4, 'NZS O&amp;G and CA100'!$E$3:$N$3, 0)),"")</f>
        <v/>
      </c>
      <c r="U182" s="56" t="str">
        <f>IF(INDEX('NZS O&amp;G and CA100'!$D$5:$D$193, MATCH($A182, 'NZS O&amp;G and CA100'!$B$5:$B$193, 0)) = "Alignment", INDEX('NZS O&amp;G and CA100'!$E$5:$N$193, MATCH($A182, 'NZS O&amp;G and CA100'!$B$5:$B$193, 0),MATCH(U$4, 'NZS O&amp;G and CA100'!$E$3:$N$3, 0)),"")</f>
        <v/>
      </c>
      <c r="V182" s="56" t="str">
        <f>IF(INDEX('NZS O&amp;G and CA100'!$D$5:$D$193, MATCH($A182, 'NZS O&amp;G and CA100'!$B$5:$B$193, 0)) = "Alignment", INDEX('NZS O&amp;G and CA100'!$E$5:$N$193, MATCH($A182, 'NZS O&amp;G and CA100'!$B$5:$B$193, 0),MATCH(V$4, 'NZS O&amp;G and CA100'!$E$3:$N$3, 0)),"")</f>
        <v/>
      </c>
      <c r="W182" s="56" t="str">
        <f>IF(INDEX('NZS O&amp;G and CA100'!$D$5:$D$193, MATCH($A182, 'NZS O&amp;G and CA100'!$B$5:$B$193, 0)) = "Alignment", INDEX('NZS O&amp;G and CA100'!$E$5:$N$193, MATCH($A182, 'NZS O&amp;G and CA100'!$B$5:$B$193, 0),MATCH(L$3, 'NZS O&amp;G and CA100'!$E$3:$N$3, 0)),"")</f>
        <v/>
      </c>
      <c r="X182" s="57" t="str">
        <f>IF(INDEX('NZS O&amp;G and CA100'!$D$5:$D$193, MATCH($A182, 'NZS O&amp;G and CA100'!$B$5:$B$193, 0)) = "Alignment", INDEX('NZS O&amp;G and CA100'!$E$5:$N$193, MATCH($A182, 'NZS O&amp;G and CA100'!$B$5:$B$193, 0),MATCH(M$3, 'NZS O&amp;G and CA100'!$E$3:$N$3, 0)),"")</f>
        <v/>
      </c>
      <c r="Z182" s="55"/>
      <c r="AA182" s="56"/>
      <c r="AB182" s="56"/>
      <c r="AC182" s="56"/>
      <c r="AD182" s="56"/>
      <c r="AE182" s="56"/>
      <c r="AF182" s="56"/>
      <c r="AG182" s="56"/>
      <c r="AH182" s="56"/>
      <c r="AI182" s="57"/>
      <c r="AK182" s="49"/>
      <c r="AL182" s="49"/>
      <c r="AM182" s="49"/>
      <c r="AN182" s="49"/>
      <c r="AO182" s="49"/>
      <c r="AP182" s="50"/>
      <c r="AQ182" s="50"/>
      <c r="AR182" s="50"/>
      <c r="AS182" s="50"/>
      <c r="AT182" s="50"/>
      <c r="AU182" s="50"/>
      <c r="AV182" s="50"/>
      <c r="AW182" s="50"/>
      <c r="AX182" s="50"/>
      <c r="AY182" s="50"/>
      <c r="AZ182" s="50"/>
      <c r="BA182" s="50"/>
      <c r="BB182" s="50"/>
      <c r="BC182" s="50"/>
      <c r="BD182" s="50"/>
      <c r="BE182" s="50"/>
      <c r="BF182" s="50"/>
      <c r="BG182" s="50"/>
      <c r="BH182" s="50"/>
      <c r="BI182" s="50"/>
      <c r="BJ182" s="50"/>
      <c r="BK182" s="50"/>
      <c r="BL182" s="50"/>
      <c r="BM182" s="50"/>
      <c r="BN182" s="50"/>
      <c r="BO182" s="50"/>
      <c r="BP182" s="50"/>
      <c r="BQ182" s="50"/>
      <c r="BR182" s="50"/>
      <c r="BS182" s="50"/>
      <c r="BT182" s="50"/>
      <c r="BU182" s="50"/>
      <c r="BV182" s="50"/>
      <c r="BW182" s="50"/>
      <c r="BX182" s="50"/>
      <c r="BY182" s="50"/>
      <c r="BZ182" s="50"/>
      <c r="CA182" s="50"/>
      <c r="CB182" s="50"/>
      <c r="CC182" s="50"/>
      <c r="CD182" s="50"/>
      <c r="CE182" s="50"/>
      <c r="CF182" s="50"/>
      <c r="CG182" s="50"/>
      <c r="CH182" s="50"/>
      <c r="CI182" s="50"/>
      <c r="CJ182" s="50"/>
      <c r="CK182" s="50"/>
      <c r="CL182" s="50"/>
      <c r="CM182" s="50"/>
      <c r="CN182" s="50"/>
      <c r="CO182" s="50"/>
      <c r="CP182" s="50"/>
      <c r="CQ182" s="50"/>
      <c r="CR182" s="50"/>
      <c r="CS182" s="50"/>
      <c r="CT182" s="50"/>
      <c r="CU182" s="50"/>
      <c r="CV182" s="50"/>
      <c r="CW182" s="50"/>
      <c r="CX182" s="50"/>
      <c r="CY182" s="50"/>
      <c r="CZ182" s="50"/>
      <c r="DA182" s="50"/>
      <c r="DB182" s="50"/>
      <c r="DC182" s="50"/>
      <c r="DD182" s="50"/>
    </row>
    <row r="183" spans="1:108" s="50" customFormat="1" ht="20.149999999999999" customHeight="1" outlineLevel="1">
      <c r="A183" s="302">
        <v>10.199999999999999</v>
      </c>
      <c r="B183" s="226" t="s">
        <v>230</v>
      </c>
      <c r="C183" s="227" t="str">
        <f>VLOOKUP(A183, 'NZS O&amp;G and CA100'!$B$7:$D$194, 3, FALSE)</f>
        <v>Disclosure</v>
      </c>
      <c r="D183" s="310">
        <f>IF($B$4="Disclosure",(SUM(D184:D185)/COUNT(D184:D185)),"")</f>
        <v>1</v>
      </c>
      <c r="E183" s="311">
        <f>IF($B$4="Disclosure",(SUM(E184:E185)/COUNT(E184:E185)),"")</f>
        <v>1</v>
      </c>
      <c r="F183" s="311">
        <f t="shared" ref="F183:M183" si="47">IF($B$4="Disclosure",(SUM(F184:F185)/COUNT(F184:F185)),"")</f>
        <v>0.5</v>
      </c>
      <c r="G183" s="311">
        <f t="shared" si="47"/>
        <v>0.5</v>
      </c>
      <c r="H183" s="311">
        <f t="shared" si="47"/>
        <v>1</v>
      </c>
      <c r="I183" s="311">
        <f t="shared" si="47"/>
        <v>1</v>
      </c>
      <c r="J183" s="311">
        <f t="shared" si="47"/>
        <v>1</v>
      </c>
      <c r="K183" s="311">
        <f t="shared" si="47"/>
        <v>1</v>
      </c>
      <c r="L183" s="311">
        <f t="shared" si="47"/>
        <v>0.5</v>
      </c>
      <c r="M183" s="312">
        <f t="shared" si="47"/>
        <v>1</v>
      </c>
      <c r="N183" s="1"/>
      <c r="O183" s="55" t="str">
        <f>IF(INDEX('NZS O&amp;G and CA100'!$D$5:$D$193, MATCH($A183, 'NZS O&amp;G and CA100'!$B$5:$B$193, 0)) = "Alignment", INDEX('NZS O&amp;G and CA100'!$E$5:$N$193, MATCH($A183, 'NZS O&amp;G and CA100'!$B$5:$B$193, 0),MATCH(O$4, 'NZS O&amp;G and CA100'!$E$3:$N$3, 0)),"")</f>
        <v/>
      </c>
      <c r="P183" s="56" t="str">
        <f>IF(INDEX('NZS O&amp;G and CA100'!$D$5:$D$193, MATCH($A183, 'NZS O&amp;G and CA100'!$B$5:$B$193, 0)) = "Alignment", INDEX('NZS O&amp;G and CA100'!$E$5:$N$193, MATCH($A183, 'NZS O&amp;G and CA100'!$B$5:$B$193, 0),MATCH(P$4, 'NZS O&amp;G and CA100'!$E$3:$N$3, 0)),"")</f>
        <v/>
      </c>
      <c r="Q183" s="56" t="str">
        <f>IF(INDEX('NZS O&amp;G and CA100'!$D$5:$D$193, MATCH($A183, 'NZS O&amp;G and CA100'!$B$5:$B$193, 0)) = "Alignment", INDEX('NZS O&amp;G and CA100'!$E$5:$N$193, MATCH($A183, 'NZS O&amp;G and CA100'!$B$5:$B$193, 0),MATCH(Q$4, 'NZS O&amp;G and CA100'!$E$3:$N$3, 0)),"")</f>
        <v/>
      </c>
      <c r="R183" s="56" t="str">
        <f>IF(INDEX('NZS O&amp;G and CA100'!$D$5:$D$193, MATCH($A183, 'NZS O&amp;G and CA100'!$B$5:$B$193, 0)) = "Alignment", INDEX('NZS O&amp;G and CA100'!$E$5:$N$193, MATCH($A183, 'NZS O&amp;G and CA100'!$B$5:$B$193, 0),MATCH(R$4, 'NZS O&amp;G and CA100'!$E$3:$N$3, 0)),"")</f>
        <v/>
      </c>
      <c r="S183" s="56" t="str">
        <f>IF(INDEX('NZS O&amp;G and CA100'!$D$5:$D$193, MATCH($A183, 'NZS O&amp;G and CA100'!$B$5:$B$193, 0)) = "Alignment", INDEX('NZS O&amp;G and CA100'!$E$5:$N$193, MATCH($A183, 'NZS O&amp;G and CA100'!$B$5:$B$193, 0),MATCH(S$4, 'NZS O&amp;G and CA100'!$E$3:$N$3, 0)),"")</f>
        <v/>
      </c>
      <c r="T183" s="56" t="str">
        <f>IF(INDEX('NZS O&amp;G and CA100'!$D$5:$D$193, MATCH($A183, 'NZS O&amp;G and CA100'!$B$5:$B$193, 0)) = "Alignment", INDEX('NZS O&amp;G and CA100'!$E$5:$N$193, MATCH($A183, 'NZS O&amp;G and CA100'!$B$5:$B$193, 0),MATCH(T$4, 'NZS O&amp;G and CA100'!$E$3:$N$3, 0)),"")</f>
        <v/>
      </c>
      <c r="U183" s="56" t="str">
        <f>IF(INDEX('NZS O&amp;G and CA100'!$D$5:$D$193, MATCH($A183, 'NZS O&amp;G and CA100'!$B$5:$B$193, 0)) = "Alignment", INDEX('NZS O&amp;G and CA100'!$E$5:$N$193, MATCH($A183, 'NZS O&amp;G and CA100'!$B$5:$B$193, 0),MATCH(U$4, 'NZS O&amp;G and CA100'!$E$3:$N$3, 0)),"")</f>
        <v/>
      </c>
      <c r="V183" s="56" t="str">
        <f>IF(INDEX('NZS O&amp;G and CA100'!$D$5:$D$193, MATCH($A183, 'NZS O&amp;G and CA100'!$B$5:$B$193, 0)) = "Alignment", INDEX('NZS O&amp;G and CA100'!$E$5:$N$193, MATCH($A183, 'NZS O&amp;G and CA100'!$B$5:$B$193, 0),MATCH(V$4, 'NZS O&amp;G and CA100'!$E$3:$N$3, 0)),"")</f>
        <v/>
      </c>
      <c r="W183" s="56" t="str">
        <f>IF(INDEX('NZS O&amp;G and CA100'!$D$5:$D$193, MATCH($A183, 'NZS O&amp;G and CA100'!$B$5:$B$193, 0)) = "Alignment", INDEX('NZS O&amp;G and CA100'!$E$5:$N$193, MATCH($A183, 'NZS O&amp;G and CA100'!$B$5:$B$193, 0),MATCH(L$3, 'NZS O&amp;G and CA100'!$E$3:$N$3, 0)),"")</f>
        <v/>
      </c>
      <c r="X183" s="57" t="str">
        <f>IF(INDEX('NZS O&amp;G and CA100'!$D$5:$D$193, MATCH($A183, 'NZS O&amp;G and CA100'!$B$5:$B$193, 0)) = "Alignment", INDEX('NZS O&amp;G and CA100'!$E$5:$N$193, MATCH($A183, 'NZS O&amp;G and CA100'!$B$5:$B$193, 0),MATCH(M$3, 'NZS O&amp;G and CA100'!$E$3:$N$3, 0)),"")</f>
        <v/>
      </c>
      <c r="Y183" s="1"/>
      <c r="Z183" s="55"/>
      <c r="AA183" s="56"/>
      <c r="AB183" s="56"/>
      <c r="AC183" s="56"/>
      <c r="AD183" s="56"/>
      <c r="AE183" s="56"/>
      <c r="AF183" s="56"/>
      <c r="AG183" s="56"/>
      <c r="AH183" s="56"/>
      <c r="AI183" s="57"/>
      <c r="AJ183" s="1"/>
      <c r="AK183" s="49"/>
      <c r="AL183" s="49"/>
      <c r="AM183" s="49"/>
      <c r="AN183" s="49"/>
      <c r="AO183" s="49"/>
    </row>
    <row r="184" spans="1:108" s="50" customFormat="1" ht="20.149999999999999" customHeight="1" outlineLevel="2">
      <c r="A184" s="302" t="s">
        <v>231</v>
      </c>
      <c r="B184" s="228" t="s">
        <v>232</v>
      </c>
      <c r="C184" s="227" t="str">
        <f>VLOOKUP(A184, 'NZS O&amp;G and CA100'!$B$7:$D$194, 3, FALSE)</f>
        <v>Disclosure</v>
      </c>
      <c r="D184" s="310">
        <f>IF(INDEX('NZS O&amp;G and CA100'!$D$5:$D$193, MATCH($A184, 'NZS O&amp;G and CA100'!$B$5:$B$193, 0)) =$B$4, INDEX('NZS O&amp;G and CA100'!$E$5:$N$193, MATCH($A184, 'NZS O&amp;G and CA100'!$B$5:$B$193, 0),MATCH(D$3, 'NZS O&amp;G and CA100'!$E$3:$N$3, 0)),"")</f>
        <v>1</v>
      </c>
      <c r="E184" s="311">
        <f>IF(INDEX('NZS O&amp;G and CA100'!$D$5:$D$193, MATCH($A184, 'NZS O&amp;G and CA100'!$B$5:$B$193, 0)) =$B$4, INDEX('NZS O&amp;G and CA100'!$E$5:$N$193, MATCH($A184, 'NZS O&amp;G and CA100'!$B$5:$B$193, 0),MATCH(E$3, 'NZS O&amp;G and CA100'!$E$3:$N$3, 0)),"")</f>
        <v>1</v>
      </c>
      <c r="F184" s="311">
        <f>IF(INDEX('NZS O&amp;G and CA100'!$D$5:$D$193, MATCH($A184, 'NZS O&amp;G and CA100'!$B$5:$B$193, 0)) =$B$4, INDEX('NZS O&amp;G and CA100'!$E$5:$N$193, MATCH($A184, 'NZS O&amp;G and CA100'!$B$5:$B$193, 0),MATCH(F$3, 'NZS O&amp;G and CA100'!$E$3:$N$3, 0)),"")</f>
        <v>1</v>
      </c>
      <c r="G184" s="311">
        <f>IF(INDEX('NZS O&amp;G and CA100'!$D$5:$D$193, MATCH($A184, 'NZS O&amp;G and CA100'!$B$5:$B$193, 0)) =$B$4, INDEX('NZS O&amp;G and CA100'!$E$5:$N$193, MATCH($A184, 'NZS O&amp;G and CA100'!$B$5:$B$193, 0),MATCH(G$3, 'NZS O&amp;G and CA100'!$E$3:$N$3, 0)),"")</f>
        <v>1</v>
      </c>
      <c r="H184" s="311">
        <f>IF(INDEX('NZS O&amp;G and CA100'!$D$5:$D$193, MATCH($A184, 'NZS O&amp;G and CA100'!$B$5:$B$193, 0)) =$B$4, INDEX('NZS O&amp;G and CA100'!$E$5:$N$193, MATCH($A184, 'NZS O&amp;G and CA100'!$B$5:$B$193, 0),MATCH(H$3, 'NZS O&amp;G and CA100'!$E$3:$N$3, 0)),"")</f>
        <v>1</v>
      </c>
      <c r="I184" s="311">
        <f>IF(INDEX('NZS O&amp;G and CA100'!$D$5:$D$193, MATCH($A184, 'NZS O&amp;G and CA100'!$B$5:$B$193, 0)) =$B$4, INDEX('NZS O&amp;G and CA100'!$E$5:$N$193, MATCH($A184, 'NZS O&amp;G and CA100'!$B$5:$B$193, 0),MATCH(I$3, 'NZS O&amp;G and CA100'!$E$3:$N$3, 0)),"")</f>
        <v>1</v>
      </c>
      <c r="J184" s="311">
        <f>IF(INDEX('NZS O&amp;G and CA100'!$D$5:$D$193, MATCH($A184, 'NZS O&amp;G and CA100'!$B$5:$B$193, 0)) =$B$4, INDEX('NZS O&amp;G and CA100'!$E$5:$N$193, MATCH($A184, 'NZS O&amp;G and CA100'!$B$5:$B$193, 0),MATCH(J$3, 'NZS O&amp;G and CA100'!$E$3:$N$3, 0)),"")</f>
        <v>1</v>
      </c>
      <c r="K184" s="311">
        <f>IF(INDEX('NZS O&amp;G and CA100'!$D$5:$D$193, MATCH($A184, 'NZS O&amp;G and CA100'!$B$5:$B$193, 0)) =$B$4, INDEX('NZS O&amp;G and CA100'!$E$5:$N$193, MATCH($A184, 'NZS O&amp;G and CA100'!$B$5:$B$193, 0),MATCH(K$3, 'NZS O&amp;G and CA100'!$E$3:$N$3, 0)),"")</f>
        <v>1</v>
      </c>
      <c r="L184" s="311">
        <f>IF(INDEX('NZS O&amp;G and CA100'!$D$5:$D$193, MATCH($A184, 'NZS O&amp;G and CA100'!$B$5:$B$193, 0)) =$B$4, INDEX('NZS O&amp;G and CA100'!$E$5:$N$193, MATCH($A184, 'NZS O&amp;G and CA100'!$B$5:$B$193, 0),MATCH(L$3, 'NZS O&amp;G and CA100'!$E$3:$N$3, 0)),"")</f>
        <v>1</v>
      </c>
      <c r="M184" s="312">
        <f>IF(INDEX('NZS O&amp;G and CA100'!$D$5:$D$193, MATCH($A184, 'NZS O&amp;G and CA100'!$B$5:$B$193, 0)) =$B$4, INDEX('NZS O&amp;G and CA100'!$E$5:$N$193, MATCH($A184, 'NZS O&amp;G and CA100'!$B$5:$B$193, 0),MATCH(M$3, 'NZS O&amp;G and CA100'!$E$3:$N$3, 0)),"")</f>
        <v>1</v>
      </c>
      <c r="N184" s="1"/>
      <c r="O184" s="55" t="str">
        <f>IF(INDEX('NZS O&amp;G and CA100'!$D$5:$D$193, MATCH($A184, 'NZS O&amp;G and CA100'!$B$5:$B$193, 0)) = "Alignment", INDEX('NZS O&amp;G and CA100'!$E$5:$N$193, MATCH($A184, 'NZS O&amp;G and CA100'!$B$5:$B$193, 0),MATCH(O$4, 'NZS O&amp;G and CA100'!$E$3:$N$3, 0)),"")</f>
        <v/>
      </c>
      <c r="P184" s="56" t="str">
        <f>IF(INDEX('NZS O&amp;G and CA100'!$D$5:$D$193, MATCH($A184, 'NZS O&amp;G and CA100'!$B$5:$B$193, 0)) = "Alignment", INDEX('NZS O&amp;G and CA100'!$E$5:$N$193, MATCH($A184, 'NZS O&amp;G and CA100'!$B$5:$B$193, 0),MATCH(P$4, 'NZS O&amp;G and CA100'!$E$3:$N$3, 0)),"")</f>
        <v/>
      </c>
      <c r="Q184" s="56" t="str">
        <f>IF(INDEX('NZS O&amp;G and CA100'!$D$5:$D$193, MATCH($A184, 'NZS O&amp;G and CA100'!$B$5:$B$193, 0)) = "Alignment", INDEX('NZS O&amp;G and CA100'!$E$5:$N$193, MATCH($A184, 'NZS O&amp;G and CA100'!$B$5:$B$193, 0),MATCH(Q$4, 'NZS O&amp;G and CA100'!$E$3:$N$3, 0)),"")</f>
        <v/>
      </c>
      <c r="R184" s="56" t="str">
        <f>IF(INDEX('NZS O&amp;G and CA100'!$D$5:$D$193, MATCH($A184, 'NZS O&amp;G and CA100'!$B$5:$B$193, 0)) = "Alignment", INDEX('NZS O&amp;G and CA100'!$E$5:$N$193, MATCH($A184, 'NZS O&amp;G and CA100'!$B$5:$B$193, 0),MATCH(R$4, 'NZS O&amp;G and CA100'!$E$3:$N$3, 0)),"")</f>
        <v/>
      </c>
      <c r="S184" s="56" t="str">
        <f>IF(INDEX('NZS O&amp;G and CA100'!$D$5:$D$193, MATCH($A184, 'NZS O&amp;G and CA100'!$B$5:$B$193, 0)) = "Alignment", INDEX('NZS O&amp;G and CA100'!$E$5:$N$193, MATCH($A184, 'NZS O&amp;G and CA100'!$B$5:$B$193, 0),MATCH(S$4, 'NZS O&amp;G and CA100'!$E$3:$N$3, 0)),"")</f>
        <v/>
      </c>
      <c r="T184" s="56" t="str">
        <f>IF(INDEX('NZS O&amp;G and CA100'!$D$5:$D$193, MATCH($A184, 'NZS O&amp;G and CA100'!$B$5:$B$193, 0)) = "Alignment", INDEX('NZS O&amp;G and CA100'!$E$5:$N$193, MATCH($A184, 'NZS O&amp;G and CA100'!$B$5:$B$193, 0),MATCH(T$4, 'NZS O&amp;G and CA100'!$E$3:$N$3, 0)),"")</f>
        <v/>
      </c>
      <c r="U184" s="56" t="str">
        <f>IF(INDEX('NZS O&amp;G and CA100'!$D$5:$D$193, MATCH($A184, 'NZS O&amp;G and CA100'!$B$5:$B$193, 0)) = "Alignment", INDEX('NZS O&amp;G and CA100'!$E$5:$N$193, MATCH($A184, 'NZS O&amp;G and CA100'!$B$5:$B$193, 0),MATCH(U$4, 'NZS O&amp;G and CA100'!$E$3:$N$3, 0)),"")</f>
        <v/>
      </c>
      <c r="V184" s="56" t="str">
        <f>IF(INDEX('NZS O&amp;G and CA100'!$D$5:$D$193, MATCH($A184, 'NZS O&amp;G and CA100'!$B$5:$B$193, 0)) = "Alignment", INDEX('NZS O&amp;G and CA100'!$E$5:$N$193, MATCH($A184, 'NZS O&amp;G and CA100'!$B$5:$B$193, 0),MATCH(V$4, 'NZS O&amp;G and CA100'!$E$3:$N$3, 0)),"")</f>
        <v/>
      </c>
      <c r="W184" s="56" t="str">
        <f>IF(INDEX('NZS O&amp;G and CA100'!$D$5:$D$193, MATCH($A184, 'NZS O&amp;G and CA100'!$B$5:$B$193, 0)) = "Alignment", INDEX('NZS O&amp;G and CA100'!$E$5:$N$193, MATCH($A184, 'NZS O&amp;G and CA100'!$B$5:$B$193, 0),MATCH(L$3, 'NZS O&amp;G and CA100'!$E$3:$N$3, 0)),"")</f>
        <v/>
      </c>
      <c r="X184" s="57" t="str">
        <f>IF(INDEX('NZS O&amp;G and CA100'!$D$5:$D$193, MATCH($A184, 'NZS O&amp;G and CA100'!$B$5:$B$193, 0)) = "Alignment", INDEX('NZS O&amp;G and CA100'!$E$5:$N$193, MATCH($A184, 'NZS O&amp;G and CA100'!$B$5:$B$193, 0),MATCH(M$3, 'NZS O&amp;G and CA100'!$E$3:$N$3, 0)),"")</f>
        <v/>
      </c>
      <c r="Y184" s="1"/>
      <c r="Z184" s="55"/>
      <c r="AA184" s="56"/>
      <c r="AB184" s="56"/>
      <c r="AC184" s="56"/>
      <c r="AD184" s="56"/>
      <c r="AE184" s="56"/>
      <c r="AF184" s="56"/>
      <c r="AG184" s="56"/>
      <c r="AH184" s="56"/>
      <c r="AI184" s="57"/>
      <c r="AJ184" s="1"/>
      <c r="AK184" s="49"/>
      <c r="AL184" s="49"/>
      <c r="AM184" s="49"/>
      <c r="AN184" s="49"/>
      <c r="AO184" s="49"/>
    </row>
    <row r="185" spans="1:108" s="50" customFormat="1" ht="20.149999999999999" customHeight="1" outlineLevel="2">
      <c r="A185" s="302" t="s">
        <v>233</v>
      </c>
      <c r="B185" s="228" t="s">
        <v>234</v>
      </c>
      <c r="C185" s="227" t="str">
        <f>VLOOKUP(A185, 'NZS O&amp;G and CA100'!$B$7:$D$194, 3, FALSE)</f>
        <v>Disclosure</v>
      </c>
      <c r="D185" s="310">
        <f>IF(INDEX('NZS O&amp;G and CA100'!$D$5:$D$193, MATCH($A185, 'NZS O&amp;G and CA100'!$B$5:$B$193, 0)) =$B$4, INDEX('NZS O&amp;G and CA100'!$E$5:$N$193, MATCH($A185, 'NZS O&amp;G and CA100'!$B$5:$B$193, 0),MATCH(D$3, 'NZS O&amp;G and CA100'!$E$3:$N$3, 0)),"")</f>
        <v>1</v>
      </c>
      <c r="E185" s="311">
        <f>IF(INDEX('NZS O&amp;G and CA100'!$D$5:$D$193, MATCH($A185, 'NZS O&amp;G and CA100'!$B$5:$B$193, 0)) =$B$4, INDEX('NZS O&amp;G and CA100'!$E$5:$N$193, MATCH($A185, 'NZS O&amp;G and CA100'!$B$5:$B$193, 0),MATCH(E$3, 'NZS O&amp;G and CA100'!$E$3:$N$3, 0)),"")</f>
        <v>1</v>
      </c>
      <c r="F185" s="311">
        <f>IF(INDEX('NZS O&amp;G and CA100'!$D$5:$D$193, MATCH($A185, 'NZS O&amp;G and CA100'!$B$5:$B$193, 0)) =$B$4, INDEX('NZS O&amp;G and CA100'!$E$5:$N$193, MATCH($A185, 'NZS O&amp;G and CA100'!$B$5:$B$193, 0),MATCH(F$3, 'NZS O&amp;G and CA100'!$E$3:$N$3, 0)),"")</f>
        <v>0</v>
      </c>
      <c r="G185" s="311">
        <f>IF(INDEX('NZS O&amp;G and CA100'!$D$5:$D$193, MATCH($A185, 'NZS O&amp;G and CA100'!$B$5:$B$193, 0)) =$B$4, INDEX('NZS O&amp;G and CA100'!$E$5:$N$193, MATCH($A185, 'NZS O&amp;G and CA100'!$B$5:$B$193, 0),MATCH(G$3, 'NZS O&amp;G and CA100'!$E$3:$N$3, 0)),"")</f>
        <v>0</v>
      </c>
      <c r="H185" s="311">
        <f>IF(INDEX('NZS O&amp;G and CA100'!$D$5:$D$193, MATCH($A185, 'NZS O&amp;G and CA100'!$B$5:$B$193, 0)) =$B$4, INDEX('NZS O&amp;G and CA100'!$E$5:$N$193, MATCH($A185, 'NZS O&amp;G and CA100'!$B$5:$B$193, 0),MATCH(H$3, 'NZS O&amp;G and CA100'!$E$3:$N$3, 0)),"")</f>
        <v>1</v>
      </c>
      <c r="I185" s="311">
        <f>IF(INDEX('NZS O&amp;G and CA100'!$D$5:$D$193, MATCH($A185, 'NZS O&amp;G and CA100'!$B$5:$B$193, 0)) =$B$4, INDEX('NZS O&amp;G and CA100'!$E$5:$N$193, MATCH($A185, 'NZS O&amp;G and CA100'!$B$5:$B$193, 0),MATCH(I$3, 'NZS O&amp;G and CA100'!$E$3:$N$3, 0)),"")</f>
        <v>1</v>
      </c>
      <c r="J185" s="311">
        <f>IF(INDEX('NZS O&amp;G and CA100'!$D$5:$D$193, MATCH($A185, 'NZS O&amp;G and CA100'!$B$5:$B$193, 0)) =$B$4, INDEX('NZS O&amp;G and CA100'!$E$5:$N$193, MATCH($A185, 'NZS O&amp;G and CA100'!$B$5:$B$193, 0),MATCH(J$3, 'NZS O&amp;G and CA100'!$E$3:$N$3, 0)),"")</f>
        <v>1</v>
      </c>
      <c r="K185" s="311">
        <f>IF(INDEX('NZS O&amp;G and CA100'!$D$5:$D$193, MATCH($A185, 'NZS O&amp;G and CA100'!$B$5:$B$193, 0)) =$B$4, INDEX('NZS O&amp;G and CA100'!$E$5:$N$193, MATCH($A185, 'NZS O&amp;G and CA100'!$B$5:$B$193, 0),MATCH(K$3, 'NZS O&amp;G and CA100'!$E$3:$N$3, 0)),"")</f>
        <v>1</v>
      </c>
      <c r="L185" s="311">
        <f>IF(INDEX('NZS O&amp;G and CA100'!$D$5:$D$193, MATCH($A185, 'NZS O&amp;G and CA100'!$B$5:$B$193, 0)) =$B$4, INDEX('NZS O&amp;G and CA100'!$E$5:$N$193, MATCH($A185, 'NZS O&amp;G and CA100'!$B$5:$B$193, 0),MATCH(L$3, 'NZS O&amp;G and CA100'!$E$3:$N$3, 0)),"")</f>
        <v>0</v>
      </c>
      <c r="M185" s="312">
        <f>IF(INDEX('NZS O&amp;G and CA100'!$D$5:$D$193, MATCH($A185, 'NZS O&amp;G and CA100'!$B$5:$B$193, 0)) =$B$4, INDEX('NZS O&amp;G and CA100'!$E$5:$N$193, MATCH($A185, 'NZS O&amp;G and CA100'!$B$5:$B$193, 0),MATCH(M$3, 'NZS O&amp;G and CA100'!$E$3:$N$3, 0)),"")</f>
        <v>1</v>
      </c>
      <c r="N185" s="1"/>
      <c r="O185" s="55" t="str">
        <f>IF(INDEX('NZS O&amp;G and CA100'!$D$5:$D$193, MATCH($A185, 'NZS O&amp;G and CA100'!$B$5:$B$193, 0)) = "Alignment", INDEX('NZS O&amp;G and CA100'!$E$5:$N$193, MATCH($A185, 'NZS O&amp;G and CA100'!$B$5:$B$193, 0),MATCH(O$4, 'NZS O&amp;G and CA100'!$E$3:$N$3, 0)),"")</f>
        <v/>
      </c>
      <c r="P185" s="56" t="str">
        <f>IF(INDEX('NZS O&amp;G and CA100'!$D$5:$D$193, MATCH($A185, 'NZS O&amp;G and CA100'!$B$5:$B$193, 0)) = "Alignment", INDEX('NZS O&amp;G and CA100'!$E$5:$N$193, MATCH($A185, 'NZS O&amp;G and CA100'!$B$5:$B$193, 0),MATCH(P$4, 'NZS O&amp;G and CA100'!$E$3:$N$3, 0)),"")</f>
        <v/>
      </c>
      <c r="Q185" s="56" t="str">
        <f>IF(INDEX('NZS O&amp;G and CA100'!$D$5:$D$193, MATCH($A185, 'NZS O&amp;G and CA100'!$B$5:$B$193, 0)) = "Alignment", INDEX('NZS O&amp;G and CA100'!$E$5:$N$193, MATCH($A185, 'NZS O&amp;G and CA100'!$B$5:$B$193, 0),MATCH(Q$4, 'NZS O&amp;G and CA100'!$E$3:$N$3, 0)),"")</f>
        <v/>
      </c>
      <c r="R185" s="56" t="str">
        <f>IF(INDEX('NZS O&amp;G and CA100'!$D$5:$D$193, MATCH($A185, 'NZS O&amp;G and CA100'!$B$5:$B$193, 0)) = "Alignment", INDEX('NZS O&amp;G and CA100'!$E$5:$N$193, MATCH($A185, 'NZS O&amp;G and CA100'!$B$5:$B$193, 0),MATCH(R$4, 'NZS O&amp;G and CA100'!$E$3:$N$3, 0)),"")</f>
        <v/>
      </c>
      <c r="S185" s="56" t="str">
        <f>IF(INDEX('NZS O&amp;G and CA100'!$D$5:$D$193, MATCH($A185, 'NZS O&amp;G and CA100'!$B$5:$B$193, 0)) = "Alignment", INDEX('NZS O&amp;G and CA100'!$E$5:$N$193, MATCH($A185, 'NZS O&amp;G and CA100'!$B$5:$B$193, 0),MATCH(S$4, 'NZS O&amp;G and CA100'!$E$3:$N$3, 0)),"")</f>
        <v/>
      </c>
      <c r="T185" s="56" t="str">
        <f>IF(INDEX('NZS O&amp;G and CA100'!$D$5:$D$193, MATCH($A185, 'NZS O&amp;G and CA100'!$B$5:$B$193, 0)) = "Alignment", INDEX('NZS O&amp;G and CA100'!$E$5:$N$193, MATCH($A185, 'NZS O&amp;G and CA100'!$B$5:$B$193, 0),MATCH(T$4, 'NZS O&amp;G and CA100'!$E$3:$N$3, 0)),"")</f>
        <v/>
      </c>
      <c r="U185" s="56" t="str">
        <f>IF(INDEX('NZS O&amp;G and CA100'!$D$5:$D$193, MATCH($A185, 'NZS O&amp;G and CA100'!$B$5:$B$193, 0)) = "Alignment", INDEX('NZS O&amp;G and CA100'!$E$5:$N$193, MATCH($A185, 'NZS O&amp;G and CA100'!$B$5:$B$193, 0),MATCH(U$4, 'NZS O&amp;G and CA100'!$E$3:$N$3, 0)),"")</f>
        <v/>
      </c>
      <c r="V185" s="56" t="str">
        <f>IF(INDEX('NZS O&amp;G and CA100'!$D$5:$D$193, MATCH($A185, 'NZS O&amp;G and CA100'!$B$5:$B$193, 0)) = "Alignment", INDEX('NZS O&amp;G and CA100'!$E$5:$N$193, MATCH($A185, 'NZS O&amp;G and CA100'!$B$5:$B$193, 0),MATCH(V$4, 'NZS O&amp;G and CA100'!$E$3:$N$3, 0)),"")</f>
        <v/>
      </c>
      <c r="W185" s="56" t="str">
        <f>IF(INDEX('NZS O&amp;G and CA100'!$D$5:$D$193, MATCH($A185, 'NZS O&amp;G and CA100'!$B$5:$B$193, 0)) = "Alignment", INDEX('NZS O&amp;G and CA100'!$E$5:$N$193, MATCH($A185, 'NZS O&amp;G and CA100'!$B$5:$B$193, 0),MATCH(L$3, 'NZS O&amp;G and CA100'!$E$3:$N$3, 0)),"")</f>
        <v/>
      </c>
      <c r="X185" s="57" t="str">
        <f>IF(INDEX('NZS O&amp;G and CA100'!$D$5:$D$193, MATCH($A185, 'NZS O&amp;G and CA100'!$B$5:$B$193, 0)) = "Alignment", INDEX('NZS O&amp;G and CA100'!$E$5:$N$193, MATCH($A185, 'NZS O&amp;G and CA100'!$B$5:$B$193, 0),MATCH(M$3, 'NZS O&amp;G and CA100'!$E$3:$N$3, 0)),"")</f>
        <v/>
      </c>
      <c r="Y185" s="1"/>
      <c r="Z185" s="55"/>
      <c r="AA185" s="56"/>
      <c r="AB185" s="56"/>
      <c r="AC185" s="56"/>
      <c r="AD185" s="56"/>
      <c r="AE185" s="56"/>
      <c r="AF185" s="56"/>
      <c r="AG185" s="56"/>
      <c r="AH185" s="56"/>
      <c r="AI185" s="57"/>
      <c r="AJ185" s="1"/>
      <c r="AK185" s="49"/>
      <c r="AL185" s="49"/>
      <c r="AM185" s="49"/>
      <c r="AN185" s="49"/>
      <c r="AO185" s="49"/>
    </row>
    <row r="186" spans="1:108" s="50" customFormat="1" ht="20.149999999999999" customHeight="1" outlineLevel="1">
      <c r="A186" s="302" t="s">
        <v>389</v>
      </c>
      <c r="B186" s="241" t="s">
        <v>235</v>
      </c>
      <c r="C186" s="65" t="str">
        <f>VLOOKUP(A186, 'NZS O&amp;G and CA100'!$B$7:$D$194, 3, FALSE)</f>
        <v> </v>
      </c>
      <c r="D186" s="310">
        <f>IF($B$4="Disclosure",(SUM(D187:D190)/COUNT(D187:D190)),"")</f>
        <v>0</v>
      </c>
      <c r="E186" s="311">
        <f t="shared" ref="E186:M186" si="48">IF($B$4="Disclosure",(SUM(E187:E190)/COUNT(E187:E190)),"")</f>
        <v>0.5</v>
      </c>
      <c r="F186" s="311">
        <f t="shared" si="48"/>
        <v>0</v>
      </c>
      <c r="G186" s="311">
        <f t="shared" si="48"/>
        <v>0.25</v>
      </c>
      <c r="H186" s="311">
        <f t="shared" si="48"/>
        <v>0</v>
      </c>
      <c r="I186" s="311">
        <f t="shared" si="48"/>
        <v>0</v>
      </c>
      <c r="J186" s="311">
        <f t="shared" si="48"/>
        <v>0.25</v>
      </c>
      <c r="K186" s="311">
        <f t="shared" si="48"/>
        <v>0</v>
      </c>
      <c r="L186" s="311">
        <f t="shared" si="48"/>
        <v>0</v>
      </c>
      <c r="M186" s="312">
        <f t="shared" si="48"/>
        <v>0</v>
      </c>
      <c r="N186" s="1"/>
      <c r="O186" s="55" t="str">
        <f>IF(INDEX('NZS O&amp;G and CA100'!$D$5:$D$193, MATCH($A186, 'NZS O&amp;G and CA100'!$B$5:$B$193, 0)) = "Alignment", INDEX('NZS O&amp;G and CA100'!$E$5:$N$193, MATCH($A186, 'NZS O&amp;G and CA100'!$B$5:$B$193, 0),MATCH(O$4, 'NZS O&amp;G and CA100'!$E$3:$N$3, 0)),"")</f>
        <v/>
      </c>
      <c r="P186" s="56" t="str">
        <f>IF(INDEX('NZS O&amp;G and CA100'!$D$5:$D$193, MATCH($A186, 'NZS O&amp;G and CA100'!$B$5:$B$193, 0)) = "Alignment", INDEX('NZS O&amp;G and CA100'!$E$5:$N$193, MATCH($A186, 'NZS O&amp;G and CA100'!$B$5:$B$193, 0),MATCH(P$4, 'NZS O&amp;G and CA100'!$E$3:$N$3, 0)),"")</f>
        <v/>
      </c>
      <c r="Q186" s="56" t="str">
        <f>IF(INDEX('NZS O&amp;G and CA100'!$D$5:$D$193, MATCH($A186, 'NZS O&amp;G and CA100'!$B$5:$B$193, 0)) = "Alignment", INDEX('NZS O&amp;G and CA100'!$E$5:$N$193, MATCH($A186, 'NZS O&amp;G and CA100'!$B$5:$B$193, 0),MATCH(Q$4, 'NZS O&amp;G and CA100'!$E$3:$N$3, 0)),"")</f>
        <v/>
      </c>
      <c r="R186" s="56" t="str">
        <f>IF(INDEX('NZS O&amp;G and CA100'!$D$5:$D$193, MATCH($A186, 'NZS O&amp;G and CA100'!$B$5:$B$193, 0)) = "Alignment", INDEX('NZS O&amp;G and CA100'!$E$5:$N$193, MATCH($A186, 'NZS O&amp;G and CA100'!$B$5:$B$193, 0),MATCH(R$4, 'NZS O&amp;G and CA100'!$E$3:$N$3, 0)),"")</f>
        <v/>
      </c>
      <c r="S186" s="56" t="str">
        <f>IF(INDEX('NZS O&amp;G and CA100'!$D$5:$D$193, MATCH($A186, 'NZS O&amp;G and CA100'!$B$5:$B$193, 0)) = "Alignment", INDEX('NZS O&amp;G and CA100'!$E$5:$N$193, MATCH($A186, 'NZS O&amp;G and CA100'!$B$5:$B$193, 0),MATCH(S$4, 'NZS O&amp;G and CA100'!$E$3:$N$3, 0)),"")</f>
        <v/>
      </c>
      <c r="T186" s="56" t="str">
        <f>IF(INDEX('NZS O&amp;G and CA100'!$D$5:$D$193, MATCH($A186, 'NZS O&amp;G and CA100'!$B$5:$B$193, 0)) = "Alignment", INDEX('NZS O&amp;G and CA100'!$E$5:$N$193, MATCH($A186, 'NZS O&amp;G and CA100'!$B$5:$B$193, 0),MATCH(T$4, 'NZS O&amp;G and CA100'!$E$3:$N$3, 0)),"")</f>
        <v/>
      </c>
      <c r="U186" s="56" t="str">
        <f>IF(INDEX('NZS O&amp;G and CA100'!$D$5:$D$193, MATCH($A186, 'NZS O&amp;G and CA100'!$B$5:$B$193, 0)) = "Alignment", INDEX('NZS O&amp;G and CA100'!$E$5:$N$193, MATCH($A186, 'NZS O&amp;G and CA100'!$B$5:$B$193, 0),MATCH(U$4, 'NZS O&amp;G and CA100'!$E$3:$N$3, 0)),"")</f>
        <v/>
      </c>
      <c r="V186" s="56" t="str">
        <f>IF(INDEX('NZS O&amp;G and CA100'!$D$5:$D$193, MATCH($A186, 'NZS O&amp;G and CA100'!$B$5:$B$193, 0)) = "Alignment", INDEX('NZS O&amp;G and CA100'!$E$5:$N$193, MATCH($A186, 'NZS O&amp;G and CA100'!$B$5:$B$193, 0),MATCH(V$4, 'NZS O&amp;G and CA100'!$E$3:$N$3, 0)),"")</f>
        <v/>
      </c>
      <c r="W186" s="56" t="str">
        <f>IF(INDEX('NZS O&amp;G and CA100'!$D$5:$D$193, MATCH($A186, 'NZS O&amp;G and CA100'!$B$5:$B$193, 0)) = "Alignment", INDEX('NZS O&amp;G and CA100'!$E$5:$N$193, MATCH($A186, 'NZS O&amp;G and CA100'!$B$5:$B$193, 0),MATCH(L$3, 'NZS O&amp;G and CA100'!$E$3:$N$3, 0)),"")</f>
        <v/>
      </c>
      <c r="X186" s="57" t="str">
        <f>IF(INDEX('NZS O&amp;G and CA100'!$D$5:$D$193, MATCH($A186, 'NZS O&amp;G and CA100'!$B$5:$B$193, 0)) = "Alignment", INDEX('NZS O&amp;G and CA100'!$E$5:$N$193, MATCH($A186, 'NZS O&amp;G and CA100'!$B$5:$B$193, 0),MATCH(M$3, 'NZS O&amp;G and CA100'!$E$3:$N$3, 0)),"")</f>
        <v/>
      </c>
      <c r="Y186" s="1"/>
      <c r="Z186" s="55"/>
      <c r="AA186" s="56"/>
      <c r="AB186" s="56"/>
      <c r="AC186" s="56"/>
      <c r="AD186" s="56"/>
      <c r="AE186" s="56"/>
      <c r="AF186" s="56"/>
      <c r="AG186" s="56"/>
      <c r="AH186" s="56"/>
      <c r="AI186" s="57"/>
      <c r="AJ186" s="1"/>
      <c r="AK186" s="49"/>
      <c r="AL186" s="49"/>
      <c r="AM186" s="49"/>
      <c r="AN186" s="49"/>
      <c r="AO186" s="49"/>
    </row>
    <row r="187" spans="1:108" s="50" customFormat="1" ht="20.149999999999999" customHeight="1" outlineLevel="2">
      <c r="A187" s="302" t="s">
        <v>236</v>
      </c>
      <c r="B187" s="240" t="s">
        <v>237</v>
      </c>
      <c r="C187" s="236" t="str">
        <f>VLOOKUP(A187, 'NZS O&amp;G and CA100'!$B$7:$D$194, 3, FALSE)</f>
        <v>Disclosure</v>
      </c>
      <c r="D187" s="310">
        <f>IF(INDEX('NZS O&amp;G and CA100'!$D$5:$D$193, MATCH($A187, 'NZS O&amp;G and CA100'!$B$5:$B$193, 0)) =$B$4, INDEX('NZS O&amp;G and CA100'!$E$5:$N$193, MATCH($A187, 'NZS O&amp;G and CA100'!$B$5:$B$193, 0),MATCH(D$3, 'NZS O&amp;G and CA100'!$E$3:$N$3, 0)),"")</f>
        <v>0</v>
      </c>
      <c r="E187" s="311">
        <f>IF(INDEX('NZS O&amp;G and CA100'!$D$5:$D$193, MATCH($A187, 'NZS O&amp;G and CA100'!$B$5:$B$193, 0)) =$B$4, INDEX('NZS O&amp;G and CA100'!$E$5:$N$193, MATCH($A187, 'NZS O&amp;G and CA100'!$B$5:$B$193, 0),MATCH(E$3, 'NZS O&amp;G and CA100'!$E$3:$N$3, 0)),"")</f>
        <v>1</v>
      </c>
      <c r="F187" s="311">
        <f>IF(INDEX('NZS O&amp;G and CA100'!$D$5:$D$193, MATCH($A187, 'NZS O&amp;G and CA100'!$B$5:$B$193, 0)) =$B$4, INDEX('NZS O&amp;G and CA100'!$E$5:$N$193, MATCH($A187, 'NZS O&amp;G and CA100'!$B$5:$B$193, 0),MATCH(F$3, 'NZS O&amp;G and CA100'!$E$3:$N$3, 0)),"")</f>
        <v>0</v>
      </c>
      <c r="G187" s="311">
        <f>IF(INDEX('NZS O&amp;G and CA100'!$D$5:$D$193, MATCH($A187, 'NZS O&amp;G and CA100'!$B$5:$B$193, 0)) =$B$4, INDEX('NZS O&amp;G and CA100'!$E$5:$N$193, MATCH($A187, 'NZS O&amp;G and CA100'!$B$5:$B$193, 0),MATCH(G$3, 'NZS O&amp;G and CA100'!$E$3:$N$3, 0)),"")</f>
        <v>0</v>
      </c>
      <c r="H187" s="311">
        <f>IF(INDEX('NZS O&amp;G and CA100'!$D$5:$D$193, MATCH($A187, 'NZS O&amp;G and CA100'!$B$5:$B$193, 0)) =$B$4, INDEX('NZS O&amp;G and CA100'!$E$5:$N$193, MATCH($A187, 'NZS O&amp;G and CA100'!$B$5:$B$193, 0),MATCH(H$3, 'NZS O&amp;G and CA100'!$E$3:$N$3, 0)),"")</f>
        <v>0</v>
      </c>
      <c r="I187" s="311">
        <f>IF(INDEX('NZS O&amp;G and CA100'!$D$5:$D$193, MATCH($A187, 'NZS O&amp;G and CA100'!$B$5:$B$193, 0)) =$B$4, INDEX('NZS O&amp;G and CA100'!$E$5:$N$193, MATCH($A187, 'NZS O&amp;G and CA100'!$B$5:$B$193, 0),MATCH(I$3, 'NZS O&amp;G and CA100'!$E$3:$N$3, 0)),"")</f>
        <v>0</v>
      </c>
      <c r="J187" s="311">
        <f>IF(INDEX('NZS O&amp;G and CA100'!$D$5:$D$193, MATCH($A187, 'NZS O&amp;G and CA100'!$B$5:$B$193, 0)) =$B$4, INDEX('NZS O&amp;G and CA100'!$E$5:$N$193, MATCH($A187, 'NZS O&amp;G and CA100'!$B$5:$B$193, 0),MATCH(J$3, 'NZS O&amp;G and CA100'!$E$3:$N$3, 0)),"")</f>
        <v>1</v>
      </c>
      <c r="K187" s="311">
        <f>IF(INDEX('NZS O&amp;G and CA100'!$D$5:$D$193, MATCH($A187, 'NZS O&amp;G and CA100'!$B$5:$B$193, 0)) =$B$4, INDEX('NZS O&amp;G and CA100'!$E$5:$N$193, MATCH($A187, 'NZS O&amp;G and CA100'!$B$5:$B$193, 0),MATCH(K$3, 'NZS O&amp;G and CA100'!$E$3:$N$3, 0)),"")</f>
        <v>0</v>
      </c>
      <c r="L187" s="311">
        <f>IF(INDEX('NZS O&amp;G and CA100'!$D$5:$D$193, MATCH($A187, 'NZS O&amp;G and CA100'!$B$5:$B$193, 0)) =$B$4, INDEX('NZS O&amp;G and CA100'!$E$5:$N$193, MATCH($A187, 'NZS O&amp;G and CA100'!$B$5:$B$193, 0),MATCH(L$3, 'NZS O&amp;G and CA100'!$E$3:$N$3, 0)),"")</f>
        <v>0</v>
      </c>
      <c r="M187" s="312">
        <f>IF(INDEX('NZS O&amp;G and CA100'!$D$5:$D$193, MATCH($A187, 'NZS O&amp;G and CA100'!$B$5:$B$193, 0)) =$B$4, INDEX('NZS O&amp;G and CA100'!$E$5:$N$193, MATCH($A187, 'NZS O&amp;G and CA100'!$B$5:$B$193, 0),MATCH(M$3, 'NZS O&amp;G and CA100'!$E$3:$N$3, 0)),"")</f>
        <v>0</v>
      </c>
      <c r="N187" s="1"/>
      <c r="O187" s="55" t="str">
        <f>IF(INDEX('NZS O&amp;G and CA100'!$D$5:$D$193, MATCH($A187, 'NZS O&amp;G and CA100'!$B$5:$B$193, 0)) = "Alignment", INDEX('NZS O&amp;G and CA100'!$E$5:$N$193, MATCH($A187, 'NZS O&amp;G and CA100'!$B$5:$B$193, 0),MATCH(O$4, 'NZS O&amp;G and CA100'!$E$3:$N$3, 0)),"")</f>
        <v/>
      </c>
      <c r="P187" s="56" t="str">
        <f>IF(INDEX('NZS O&amp;G and CA100'!$D$5:$D$193, MATCH($A187, 'NZS O&amp;G and CA100'!$B$5:$B$193, 0)) = "Alignment", INDEX('NZS O&amp;G and CA100'!$E$5:$N$193, MATCH($A187, 'NZS O&amp;G and CA100'!$B$5:$B$193, 0),MATCH(P$4, 'NZS O&amp;G and CA100'!$E$3:$N$3, 0)),"")</f>
        <v/>
      </c>
      <c r="Q187" s="56" t="str">
        <f>IF(INDEX('NZS O&amp;G and CA100'!$D$5:$D$193, MATCH($A187, 'NZS O&amp;G and CA100'!$B$5:$B$193, 0)) = "Alignment", INDEX('NZS O&amp;G and CA100'!$E$5:$N$193, MATCH($A187, 'NZS O&amp;G and CA100'!$B$5:$B$193, 0),MATCH(Q$4, 'NZS O&amp;G and CA100'!$E$3:$N$3, 0)),"")</f>
        <v/>
      </c>
      <c r="R187" s="56" t="str">
        <f>IF(INDEX('NZS O&amp;G and CA100'!$D$5:$D$193, MATCH($A187, 'NZS O&amp;G and CA100'!$B$5:$B$193, 0)) = "Alignment", INDEX('NZS O&amp;G and CA100'!$E$5:$N$193, MATCH($A187, 'NZS O&amp;G and CA100'!$B$5:$B$193, 0),MATCH(R$4, 'NZS O&amp;G and CA100'!$E$3:$N$3, 0)),"")</f>
        <v/>
      </c>
      <c r="S187" s="56" t="str">
        <f>IF(INDEX('NZS O&amp;G and CA100'!$D$5:$D$193, MATCH($A187, 'NZS O&amp;G and CA100'!$B$5:$B$193, 0)) = "Alignment", INDEX('NZS O&amp;G and CA100'!$E$5:$N$193, MATCH($A187, 'NZS O&amp;G and CA100'!$B$5:$B$193, 0),MATCH(S$4, 'NZS O&amp;G and CA100'!$E$3:$N$3, 0)),"")</f>
        <v/>
      </c>
      <c r="T187" s="56" t="str">
        <f>IF(INDEX('NZS O&amp;G and CA100'!$D$5:$D$193, MATCH($A187, 'NZS O&amp;G and CA100'!$B$5:$B$193, 0)) = "Alignment", INDEX('NZS O&amp;G and CA100'!$E$5:$N$193, MATCH($A187, 'NZS O&amp;G and CA100'!$B$5:$B$193, 0),MATCH(T$4, 'NZS O&amp;G and CA100'!$E$3:$N$3, 0)),"")</f>
        <v/>
      </c>
      <c r="U187" s="56" t="str">
        <f>IF(INDEX('NZS O&amp;G and CA100'!$D$5:$D$193, MATCH($A187, 'NZS O&amp;G and CA100'!$B$5:$B$193, 0)) = "Alignment", INDEX('NZS O&amp;G and CA100'!$E$5:$N$193, MATCH($A187, 'NZS O&amp;G and CA100'!$B$5:$B$193, 0),MATCH(U$4, 'NZS O&amp;G and CA100'!$E$3:$N$3, 0)),"")</f>
        <v/>
      </c>
      <c r="V187" s="56" t="str">
        <f>IF(INDEX('NZS O&amp;G and CA100'!$D$5:$D$193, MATCH($A187, 'NZS O&amp;G and CA100'!$B$5:$B$193, 0)) = "Alignment", INDEX('NZS O&amp;G and CA100'!$E$5:$N$193, MATCH($A187, 'NZS O&amp;G and CA100'!$B$5:$B$193, 0),MATCH(V$4, 'NZS O&amp;G and CA100'!$E$3:$N$3, 0)),"")</f>
        <v/>
      </c>
      <c r="W187" s="56" t="str">
        <f>IF(INDEX('NZS O&amp;G and CA100'!$D$5:$D$193, MATCH($A187, 'NZS O&amp;G and CA100'!$B$5:$B$193, 0)) = "Alignment", INDEX('NZS O&amp;G and CA100'!$E$5:$N$193, MATCH($A187, 'NZS O&amp;G and CA100'!$B$5:$B$193, 0),MATCH(L$3, 'NZS O&amp;G and CA100'!$E$3:$N$3, 0)),"")</f>
        <v/>
      </c>
      <c r="X187" s="57" t="str">
        <f>IF(INDEX('NZS O&amp;G and CA100'!$D$5:$D$193, MATCH($A187, 'NZS O&amp;G and CA100'!$B$5:$B$193, 0)) = "Alignment", INDEX('NZS O&amp;G and CA100'!$E$5:$N$193, MATCH($A187, 'NZS O&amp;G and CA100'!$B$5:$B$193, 0),MATCH(M$3, 'NZS O&amp;G and CA100'!$E$3:$N$3, 0)),"")</f>
        <v/>
      </c>
      <c r="Y187" s="1"/>
      <c r="Z187" s="55"/>
      <c r="AA187" s="56"/>
      <c r="AB187" s="56"/>
      <c r="AC187" s="56"/>
      <c r="AD187" s="56"/>
      <c r="AE187" s="56"/>
      <c r="AF187" s="56"/>
      <c r="AG187" s="56"/>
      <c r="AH187" s="56"/>
      <c r="AI187" s="57"/>
      <c r="AJ187" s="1"/>
      <c r="AK187" s="49"/>
      <c r="AL187" s="49"/>
      <c r="AM187" s="49"/>
      <c r="AN187" s="49"/>
      <c r="AO187" s="49"/>
    </row>
    <row r="188" spans="1:108" s="50" customFormat="1" ht="20.149999999999999" customHeight="1" outlineLevel="2">
      <c r="A188" s="302" t="s">
        <v>238</v>
      </c>
      <c r="B188" s="240" t="s">
        <v>239</v>
      </c>
      <c r="C188" s="236" t="str">
        <f>VLOOKUP(A188, 'NZS O&amp;G and CA100'!$B$7:$D$194, 3, FALSE)</f>
        <v>Disclosure</v>
      </c>
      <c r="D188" s="310">
        <f>IF(INDEX('NZS O&amp;G and CA100'!$D$5:$D$193, MATCH($A188, 'NZS O&amp;G and CA100'!$B$5:$B$193, 0)) =$B$4, INDEX('NZS O&amp;G and CA100'!$E$5:$N$193, MATCH($A188, 'NZS O&amp;G and CA100'!$B$5:$B$193, 0),MATCH(D$3, 'NZS O&amp;G and CA100'!$E$3:$N$3, 0)),"")</f>
        <v>0</v>
      </c>
      <c r="E188" s="311">
        <f>IF(INDEX('NZS O&amp;G and CA100'!$D$5:$D$193, MATCH($A188, 'NZS O&amp;G and CA100'!$B$5:$B$193, 0)) =$B$4, INDEX('NZS O&amp;G and CA100'!$E$5:$N$193, MATCH($A188, 'NZS O&amp;G and CA100'!$B$5:$B$193, 0),MATCH(E$3, 'NZS O&amp;G and CA100'!$E$3:$N$3, 0)),"")</f>
        <v>0</v>
      </c>
      <c r="F188" s="311">
        <f>IF(INDEX('NZS O&amp;G and CA100'!$D$5:$D$193, MATCH($A188, 'NZS O&amp;G and CA100'!$B$5:$B$193, 0)) =$B$4, INDEX('NZS O&amp;G and CA100'!$E$5:$N$193, MATCH($A188, 'NZS O&amp;G and CA100'!$B$5:$B$193, 0),MATCH(F$3, 'NZS O&amp;G and CA100'!$E$3:$N$3, 0)),"")</f>
        <v>0</v>
      </c>
      <c r="G188" s="311">
        <f>IF(INDEX('NZS O&amp;G and CA100'!$D$5:$D$193, MATCH($A188, 'NZS O&amp;G and CA100'!$B$5:$B$193, 0)) =$B$4, INDEX('NZS O&amp;G and CA100'!$E$5:$N$193, MATCH($A188, 'NZS O&amp;G and CA100'!$B$5:$B$193, 0),MATCH(G$3, 'NZS O&amp;G and CA100'!$E$3:$N$3, 0)),"")</f>
        <v>0</v>
      </c>
      <c r="H188" s="311">
        <f>IF(INDEX('NZS O&amp;G and CA100'!$D$5:$D$193, MATCH($A188, 'NZS O&amp;G and CA100'!$B$5:$B$193, 0)) =$B$4, INDEX('NZS O&amp;G and CA100'!$E$5:$N$193, MATCH($A188, 'NZS O&amp;G and CA100'!$B$5:$B$193, 0),MATCH(H$3, 'NZS O&amp;G and CA100'!$E$3:$N$3, 0)),"")</f>
        <v>0</v>
      </c>
      <c r="I188" s="311">
        <f>IF(INDEX('NZS O&amp;G and CA100'!$D$5:$D$193, MATCH($A188, 'NZS O&amp;G and CA100'!$B$5:$B$193, 0)) =$B$4, INDEX('NZS O&amp;G and CA100'!$E$5:$N$193, MATCH($A188, 'NZS O&amp;G and CA100'!$B$5:$B$193, 0),MATCH(I$3, 'NZS O&amp;G and CA100'!$E$3:$N$3, 0)),"")</f>
        <v>0</v>
      </c>
      <c r="J188" s="311">
        <f>IF(INDEX('NZS O&amp;G and CA100'!$D$5:$D$193, MATCH($A188, 'NZS O&amp;G and CA100'!$B$5:$B$193, 0)) =$B$4, INDEX('NZS O&amp;G and CA100'!$E$5:$N$193, MATCH($A188, 'NZS O&amp;G and CA100'!$B$5:$B$193, 0),MATCH(J$3, 'NZS O&amp;G and CA100'!$E$3:$N$3, 0)),"")</f>
        <v>0</v>
      </c>
      <c r="K188" s="311">
        <f>IF(INDEX('NZS O&amp;G and CA100'!$D$5:$D$193, MATCH($A188, 'NZS O&amp;G and CA100'!$B$5:$B$193, 0)) =$B$4, INDEX('NZS O&amp;G and CA100'!$E$5:$N$193, MATCH($A188, 'NZS O&amp;G and CA100'!$B$5:$B$193, 0),MATCH(K$3, 'NZS O&amp;G and CA100'!$E$3:$N$3, 0)),"")</f>
        <v>0</v>
      </c>
      <c r="L188" s="311">
        <f>IF(INDEX('NZS O&amp;G and CA100'!$D$5:$D$193, MATCH($A188, 'NZS O&amp;G and CA100'!$B$5:$B$193, 0)) =$B$4, INDEX('NZS O&amp;G and CA100'!$E$5:$N$193, MATCH($A188, 'NZS O&amp;G and CA100'!$B$5:$B$193, 0),MATCH(L$3, 'NZS O&amp;G and CA100'!$E$3:$N$3, 0)),"")</f>
        <v>0</v>
      </c>
      <c r="M188" s="312">
        <f>IF(INDEX('NZS O&amp;G and CA100'!$D$5:$D$193, MATCH($A188, 'NZS O&amp;G and CA100'!$B$5:$B$193, 0)) =$B$4, INDEX('NZS O&amp;G and CA100'!$E$5:$N$193, MATCH($A188, 'NZS O&amp;G and CA100'!$B$5:$B$193, 0),MATCH(M$3, 'NZS O&amp;G and CA100'!$E$3:$N$3, 0)),"")</f>
        <v>0</v>
      </c>
      <c r="N188" s="1"/>
      <c r="O188" s="55" t="str">
        <f>IF(INDEX('NZS O&amp;G and CA100'!$D$5:$D$193, MATCH($A188, 'NZS O&amp;G and CA100'!$B$5:$B$193, 0)) = "Alignment", INDEX('NZS O&amp;G and CA100'!$E$5:$N$193, MATCH($A188, 'NZS O&amp;G and CA100'!$B$5:$B$193, 0),MATCH(O$4, 'NZS O&amp;G and CA100'!$E$3:$N$3, 0)),"")</f>
        <v/>
      </c>
      <c r="P188" s="56" t="str">
        <f>IF(INDEX('NZS O&amp;G and CA100'!$D$5:$D$193, MATCH($A188, 'NZS O&amp;G and CA100'!$B$5:$B$193, 0)) = "Alignment", INDEX('NZS O&amp;G and CA100'!$E$5:$N$193, MATCH($A188, 'NZS O&amp;G and CA100'!$B$5:$B$193, 0),MATCH(P$4, 'NZS O&amp;G and CA100'!$E$3:$N$3, 0)),"")</f>
        <v/>
      </c>
      <c r="Q188" s="56" t="str">
        <f>IF(INDEX('NZS O&amp;G and CA100'!$D$5:$D$193, MATCH($A188, 'NZS O&amp;G and CA100'!$B$5:$B$193, 0)) = "Alignment", INDEX('NZS O&amp;G and CA100'!$E$5:$N$193, MATCH($A188, 'NZS O&amp;G and CA100'!$B$5:$B$193, 0),MATCH(Q$4, 'NZS O&amp;G and CA100'!$E$3:$N$3, 0)),"")</f>
        <v/>
      </c>
      <c r="R188" s="56" t="str">
        <f>IF(INDEX('NZS O&amp;G and CA100'!$D$5:$D$193, MATCH($A188, 'NZS O&amp;G and CA100'!$B$5:$B$193, 0)) = "Alignment", INDEX('NZS O&amp;G and CA100'!$E$5:$N$193, MATCH($A188, 'NZS O&amp;G and CA100'!$B$5:$B$193, 0),MATCH(R$4, 'NZS O&amp;G and CA100'!$E$3:$N$3, 0)),"")</f>
        <v/>
      </c>
      <c r="S188" s="56" t="str">
        <f>IF(INDEX('NZS O&amp;G and CA100'!$D$5:$D$193, MATCH($A188, 'NZS O&amp;G and CA100'!$B$5:$B$193, 0)) = "Alignment", INDEX('NZS O&amp;G and CA100'!$E$5:$N$193, MATCH($A188, 'NZS O&amp;G and CA100'!$B$5:$B$193, 0),MATCH(S$4, 'NZS O&amp;G and CA100'!$E$3:$N$3, 0)),"")</f>
        <v/>
      </c>
      <c r="T188" s="56" t="str">
        <f>IF(INDEX('NZS O&amp;G and CA100'!$D$5:$D$193, MATCH($A188, 'NZS O&amp;G and CA100'!$B$5:$B$193, 0)) = "Alignment", INDEX('NZS O&amp;G and CA100'!$E$5:$N$193, MATCH($A188, 'NZS O&amp;G and CA100'!$B$5:$B$193, 0),MATCH(T$4, 'NZS O&amp;G and CA100'!$E$3:$N$3, 0)),"")</f>
        <v/>
      </c>
      <c r="U188" s="56" t="str">
        <f>IF(INDEX('NZS O&amp;G and CA100'!$D$5:$D$193, MATCH($A188, 'NZS O&amp;G and CA100'!$B$5:$B$193, 0)) = "Alignment", INDEX('NZS O&amp;G and CA100'!$E$5:$N$193, MATCH($A188, 'NZS O&amp;G and CA100'!$B$5:$B$193, 0),MATCH(U$4, 'NZS O&amp;G and CA100'!$E$3:$N$3, 0)),"")</f>
        <v/>
      </c>
      <c r="V188" s="56" t="str">
        <f>IF(INDEX('NZS O&amp;G and CA100'!$D$5:$D$193, MATCH($A188, 'NZS O&amp;G and CA100'!$B$5:$B$193, 0)) = "Alignment", INDEX('NZS O&amp;G and CA100'!$E$5:$N$193, MATCH($A188, 'NZS O&amp;G and CA100'!$B$5:$B$193, 0),MATCH(V$4, 'NZS O&amp;G and CA100'!$E$3:$N$3, 0)),"")</f>
        <v/>
      </c>
      <c r="W188" s="56" t="str">
        <f>IF(INDEX('NZS O&amp;G and CA100'!$D$5:$D$193, MATCH($A188, 'NZS O&amp;G and CA100'!$B$5:$B$193, 0)) = "Alignment", INDEX('NZS O&amp;G and CA100'!$E$5:$N$193, MATCH($A188, 'NZS O&amp;G and CA100'!$B$5:$B$193, 0),MATCH(L$3, 'NZS O&amp;G and CA100'!$E$3:$N$3, 0)),"")</f>
        <v/>
      </c>
      <c r="X188" s="57" t="str">
        <f>IF(INDEX('NZS O&amp;G and CA100'!$D$5:$D$193, MATCH($A188, 'NZS O&amp;G and CA100'!$B$5:$B$193, 0)) = "Alignment", INDEX('NZS O&amp;G and CA100'!$E$5:$N$193, MATCH($A188, 'NZS O&amp;G and CA100'!$B$5:$B$193, 0),MATCH(M$3, 'NZS O&amp;G and CA100'!$E$3:$N$3, 0)),"")</f>
        <v/>
      </c>
      <c r="Y188" s="1"/>
      <c r="Z188" s="55"/>
      <c r="AA188" s="56"/>
      <c r="AB188" s="56"/>
      <c r="AC188" s="56"/>
      <c r="AD188" s="56"/>
      <c r="AE188" s="56"/>
      <c r="AF188" s="56"/>
      <c r="AG188" s="56"/>
      <c r="AH188" s="56"/>
      <c r="AI188" s="57"/>
      <c r="AJ188" s="1"/>
      <c r="AK188" s="49"/>
      <c r="AL188" s="49"/>
      <c r="AM188" s="49"/>
      <c r="AN188" s="49"/>
      <c r="AO188" s="49"/>
    </row>
    <row r="189" spans="1:108" s="50" customFormat="1" ht="20.149999999999999" customHeight="1" outlineLevel="2">
      <c r="A189" s="302" t="s">
        <v>240</v>
      </c>
      <c r="B189" s="240" t="s">
        <v>241</v>
      </c>
      <c r="C189" s="236" t="str">
        <f>VLOOKUP(A189, 'NZS O&amp;G and CA100'!$B$7:$D$194, 3, FALSE)</f>
        <v>Disclosure</v>
      </c>
      <c r="D189" s="310">
        <f>IF(INDEX('NZS O&amp;G and CA100'!$D$5:$D$193, MATCH($A189, 'NZS O&amp;G and CA100'!$B$5:$B$193, 0)) =$B$4, INDEX('NZS O&amp;G and CA100'!$E$5:$N$193, MATCH($A189, 'NZS O&amp;G and CA100'!$B$5:$B$193, 0),MATCH(D$3, 'NZS O&amp;G and CA100'!$E$3:$N$3, 0)),"")</f>
        <v>0</v>
      </c>
      <c r="E189" s="311">
        <f>IF(INDEX('NZS O&amp;G and CA100'!$D$5:$D$193, MATCH($A189, 'NZS O&amp;G and CA100'!$B$5:$B$193, 0)) =$B$4, INDEX('NZS O&amp;G and CA100'!$E$5:$N$193, MATCH($A189, 'NZS O&amp;G and CA100'!$B$5:$B$193, 0),MATCH(E$3, 'NZS O&amp;G and CA100'!$E$3:$N$3, 0)),"")</f>
        <v>0</v>
      </c>
      <c r="F189" s="311">
        <f>IF(INDEX('NZS O&amp;G and CA100'!$D$5:$D$193, MATCH($A189, 'NZS O&amp;G and CA100'!$B$5:$B$193, 0)) =$B$4, INDEX('NZS O&amp;G and CA100'!$E$5:$N$193, MATCH($A189, 'NZS O&amp;G and CA100'!$B$5:$B$193, 0),MATCH(F$3, 'NZS O&amp;G and CA100'!$E$3:$N$3, 0)),"")</f>
        <v>0</v>
      </c>
      <c r="G189" s="311">
        <f>IF(INDEX('NZS O&amp;G and CA100'!$D$5:$D$193, MATCH($A189, 'NZS O&amp;G and CA100'!$B$5:$B$193, 0)) =$B$4, INDEX('NZS O&amp;G and CA100'!$E$5:$N$193, MATCH($A189, 'NZS O&amp;G and CA100'!$B$5:$B$193, 0),MATCH(G$3, 'NZS O&amp;G and CA100'!$E$3:$N$3, 0)),"")</f>
        <v>0</v>
      </c>
      <c r="H189" s="311">
        <f>IF(INDEX('NZS O&amp;G and CA100'!$D$5:$D$193, MATCH($A189, 'NZS O&amp;G and CA100'!$B$5:$B$193, 0)) =$B$4, INDEX('NZS O&amp;G and CA100'!$E$5:$N$193, MATCH($A189, 'NZS O&amp;G and CA100'!$B$5:$B$193, 0),MATCH(H$3, 'NZS O&amp;G and CA100'!$E$3:$N$3, 0)),"")</f>
        <v>0</v>
      </c>
      <c r="I189" s="311">
        <f>IF(INDEX('NZS O&amp;G and CA100'!$D$5:$D$193, MATCH($A189, 'NZS O&amp;G and CA100'!$B$5:$B$193, 0)) =$B$4, INDEX('NZS O&amp;G and CA100'!$E$5:$N$193, MATCH($A189, 'NZS O&amp;G and CA100'!$B$5:$B$193, 0),MATCH(I$3, 'NZS O&amp;G and CA100'!$E$3:$N$3, 0)),"")</f>
        <v>0</v>
      </c>
      <c r="J189" s="311">
        <f>IF(INDEX('NZS O&amp;G and CA100'!$D$5:$D$193, MATCH($A189, 'NZS O&amp;G and CA100'!$B$5:$B$193, 0)) =$B$4, INDEX('NZS O&amp;G and CA100'!$E$5:$N$193, MATCH($A189, 'NZS O&amp;G and CA100'!$B$5:$B$193, 0),MATCH(J$3, 'NZS O&amp;G and CA100'!$E$3:$N$3, 0)),"")</f>
        <v>0</v>
      </c>
      <c r="K189" s="311">
        <f>IF(INDEX('NZS O&amp;G and CA100'!$D$5:$D$193, MATCH($A189, 'NZS O&amp;G and CA100'!$B$5:$B$193, 0)) =$B$4, INDEX('NZS O&amp;G and CA100'!$E$5:$N$193, MATCH($A189, 'NZS O&amp;G and CA100'!$B$5:$B$193, 0),MATCH(K$3, 'NZS O&amp;G and CA100'!$E$3:$N$3, 0)),"")</f>
        <v>0</v>
      </c>
      <c r="L189" s="311">
        <f>IF(INDEX('NZS O&amp;G and CA100'!$D$5:$D$193, MATCH($A189, 'NZS O&amp;G and CA100'!$B$5:$B$193, 0)) =$B$4, INDEX('NZS O&amp;G and CA100'!$E$5:$N$193, MATCH($A189, 'NZS O&amp;G and CA100'!$B$5:$B$193, 0),MATCH(L$3, 'NZS O&amp;G and CA100'!$E$3:$N$3, 0)),"")</f>
        <v>0</v>
      </c>
      <c r="M189" s="312">
        <f>IF(INDEX('NZS O&amp;G and CA100'!$D$5:$D$193, MATCH($A189, 'NZS O&amp;G and CA100'!$B$5:$B$193, 0)) =$B$4, INDEX('NZS O&amp;G and CA100'!$E$5:$N$193, MATCH($A189, 'NZS O&amp;G and CA100'!$B$5:$B$193, 0),MATCH(M$3, 'NZS O&amp;G and CA100'!$E$3:$N$3, 0)),"")</f>
        <v>0</v>
      </c>
      <c r="N189" s="1"/>
      <c r="O189" s="55" t="str">
        <f>IF(INDEX('NZS O&amp;G and CA100'!$D$5:$D$193, MATCH($A189, 'NZS O&amp;G and CA100'!$B$5:$B$193, 0)) = "Alignment", INDEX('NZS O&amp;G and CA100'!$E$5:$N$193, MATCH($A189, 'NZS O&amp;G and CA100'!$B$5:$B$193, 0),MATCH(O$4, 'NZS O&amp;G and CA100'!$E$3:$N$3, 0)),"")</f>
        <v/>
      </c>
      <c r="P189" s="56" t="str">
        <f>IF(INDEX('NZS O&amp;G and CA100'!$D$5:$D$193, MATCH($A189, 'NZS O&amp;G and CA100'!$B$5:$B$193, 0)) = "Alignment", INDEX('NZS O&amp;G and CA100'!$E$5:$N$193, MATCH($A189, 'NZS O&amp;G and CA100'!$B$5:$B$193, 0),MATCH(P$4, 'NZS O&amp;G and CA100'!$E$3:$N$3, 0)),"")</f>
        <v/>
      </c>
      <c r="Q189" s="56" t="str">
        <f>IF(INDEX('NZS O&amp;G and CA100'!$D$5:$D$193, MATCH($A189, 'NZS O&amp;G and CA100'!$B$5:$B$193, 0)) = "Alignment", INDEX('NZS O&amp;G and CA100'!$E$5:$N$193, MATCH($A189, 'NZS O&amp;G and CA100'!$B$5:$B$193, 0),MATCH(Q$4, 'NZS O&amp;G and CA100'!$E$3:$N$3, 0)),"")</f>
        <v/>
      </c>
      <c r="R189" s="56" t="str">
        <f>IF(INDEX('NZS O&amp;G and CA100'!$D$5:$D$193, MATCH($A189, 'NZS O&amp;G and CA100'!$B$5:$B$193, 0)) = "Alignment", INDEX('NZS O&amp;G and CA100'!$E$5:$N$193, MATCH($A189, 'NZS O&amp;G and CA100'!$B$5:$B$193, 0),MATCH(R$4, 'NZS O&amp;G and CA100'!$E$3:$N$3, 0)),"")</f>
        <v/>
      </c>
      <c r="S189" s="56" t="str">
        <f>IF(INDEX('NZS O&amp;G and CA100'!$D$5:$D$193, MATCH($A189, 'NZS O&amp;G and CA100'!$B$5:$B$193, 0)) = "Alignment", INDEX('NZS O&amp;G and CA100'!$E$5:$N$193, MATCH($A189, 'NZS O&amp;G and CA100'!$B$5:$B$193, 0),MATCH(S$4, 'NZS O&amp;G and CA100'!$E$3:$N$3, 0)),"")</f>
        <v/>
      </c>
      <c r="T189" s="56" t="str">
        <f>IF(INDEX('NZS O&amp;G and CA100'!$D$5:$D$193, MATCH($A189, 'NZS O&amp;G and CA100'!$B$5:$B$193, 0)) = "Alignment", INDEX('NZS O&amp;G and CA100'!$E$5:$N$193, MATCH($A189, 'NZS O&amp;G and CA100'!$B$5:$B$193, 0),MATCH(T$4, 'NZS O&amp;G and CA100'!$E$3:$N$3, 0)),"")</f>
        <v/>
      </c>
      <c r="U189" s="56" t="str">
        <f>IF(INDEX('NZS O&amp;G and CA100'!$D$5:$D$193, MATCH($A189, 'NZS O&amp;G and CA100'!$B$5:$B$193, 0)) = "Alignment", INDEX('NZS O&amp;G and CA100'!$E$5:$N$193, MATCH($A189, 'NZS O&amp;G and CA100'!$B$5:$B$193, 0),MATCH(U$4, 'NZS O&amp;G and CA100'!$E$3:$N$3, 0)),"")</f>
        <v/>
      </c>
      <c r="V189" s="56" t="str">
        <f>IF(INDEX('NZS O&amp;G and CA100'!$D$5:$D$193, MATCH($A189, 'NZS O&amp;G and CA100'!$B$5:$B$193, 0)) = "Alignment", INDEX('NZS O&amp;G and CA100'!$E$5:$N$193, MATCH($A189, 'NZS O&amp;G and CA100'!$B$5:$B$193, 0),MATCH(V$4, 'NZS O&amp;G and CA100'!$E$3:$N$3, 0)),"")</f>
        <v/>
      </c>
      <c r="W189" s="56" t="str">
        <f>IF(INDEX('NZS O&amp;G and CA100'!$D$5:$D$193, MATCH($A189, 'NZS O&amp;G and CA100'!$B$5:$B$193, 0)) = "Alignment", INDEX('NZS O&amp;G and CA100'!$E$5:$N$193, MATCH($A189, 'NZS O&amp;G and CA100'!$B$5:$B$193, 0),MATCH(L$3, 'NZS O&amp;G and CA100'!$E$3:$N$3, 0)),"")</f>
        <v/>
      </c>
      <c r="X189" s="57" t="str">
        <f>IF(INDEX('NZS O&amp;G and CA100'!$D$5:$D$193, MATCH($A189, 'NZS O&amp;G and CA100'!$B$5:$B$193, 0)) = "Alignment", INDEX('NZS O&amp;G and CA100'!$E$5:$N$193, MATCH($A189, 'NZS O&amp;G and CA100'!$B$5:$B$193, 0),MATCH(M$3, 'NZS O&amp;G and CA100'!$E$3:$N$3, 0)),"")</f>
        <v/>
      </c>
      <c r="Y189" s="1"/>
      <c r="Z189" s="55"/>
      <c r="AA189" s="56"/>
      <c r="AB189" s="56"/>
      <c r="AC189" s="56"/>
      <c r="AD189" s="56"/>
      <c r="AE189" s="56"/>
      <c r="AF189" s="56"/>
      <c r="AG189" s="56"/>
      <c r="AH189" s="56"/>
      <c r="AI189" s="57"/>
      <c r="AJ189" s="1"/>
      <c r="AK189" s="49"/>
      <c r="AL189" s="49"/>
      <c r="AM189" s="49"/>
      <c r="AN189" s="49"/>
      <c r="AO189" s="49"/>
    </row>
    <row r="190" spans="1:108" s="50" customFormat="1" ht="20.149999999999999" customHeight="1" outlineLevel="2">
      <c r="A190" s="302" t="s">
        <v>242</v>
      </c>
      <c r="B190" s="240" t="s">
        <v>243</v>
      </c>
      <c r="C190" s="236" t="str">
        <f>VLOOKUP(A190, 'NZS O&amp;G and CA100'!$B$7:$D$194, 3, FALSE)</f>
        <v>Disclosure</v>
      </c>
      <c r="D190" s="310">
        <f>IF(INDEX('NZS O&amp;G and CA100'!$D$5:$D$193, MATCH($A190, 'NZS O&amp;G and CA100'!$B$5:$B$193, 0)) =$B$4, INDEX('NZS O&amp;G and CA100'!$E$5:$N$193, MATCH($A190, 'NZS O&amp;G and CA100'!$B$5:$B$193, 0),MATCH(D$3, 'NZS O&amp;G and CA100'!$E$3:$N$3, 0)),"")</f>
        <v>0</v>
      </c>
      <c r="E190" s="311">
        <f>IF(INDEX('NZS O&amp;G and CA100'!$D$5:$D$193, MATCH($A190, 'NZS O&amp;G and CA100'!$B$5:$B$193, 0)) =$B$4, INDEX('NZS O&amp;G and CA100'!$E$5:$N$193, MATCH($A190, 'NZS O&amp;G and CA100'!$B$5:$B$193, 0),MATCH(E$3, 'NZS O&amp;G and CA100'!$E$3:$N$3, 0)),"")</f>
        <v>1</v>
      </c>
      <c r="F190" s="311">
        <f>IF(INDEX('NZS O&amp;G and CA100'!$D$5:$D$193, MATCH($A190, 'NZS O&amp;G and CA100'!$B$5:$B$193, 0)) =$B$4, INDEX('NZS O&amp;G and CA100'!$E$5:$N$193, MATCH($A190, 'NZS O&amp;G and CA100'!$B$5:$B$193, 0),MATCH(F$3, 'NZS O&amp;G and CA100'!$E$3:$N$3, 0)),"")</f>
        <v>0</v>
      </c>
      <c r="G190" s="311">
        <f>IF(INDEX('NZS O&amp;G and CA100'!$D$5:$D$193, MATCH($A190, 'NZS O&amp;G and CA100'!$B$5:$B$193, 0)) =$B$4, INDEX('NZS O&amp;G and CA100'!$E$5:$N$193, MATCH($A190, 'NZS O&amp;G and CA100'!$B$5:$B$193, 0),MATCH(G$3, 'NZS O&amp;G and CA100'!$E$3:$N$3, 0)),"")</f>
        <v>1</v>
      </c>
      <c r="H190" s="311">
        <f>IF(INDEX('NZS O&amp;G and CA100'!$D$5:$D$193, MATCH($A190, 'NZS O&amp;G and CA100'!$B$5:$B$193, 0)) =$B$4, INDEX('NZS O&amp;G and CA100'!$E$5:$N$193, MATCH($A190, 'NZS O&amp;G and CA100'!$B$5:$B$193, 0),MATCH(H$3, 'NZS O&amp;G and CA100'!$E$3:$N$3, 0)),"")</f>
        <v>0</v>
      </c>
      <c r="I190" s="311">
        <f>IF(INDEX('NZS O&amp;G and CA100'!$D$5:$D$193, MATCH($A190, 'NZS O&amp;G and CA100'!$B$5:$B$193, 0)) =$B$4, INDEX('NZS O&amp;G and CA100'!$E$5:$N$193, MATCH($A190, 'NZS O&amp;G and CA100'!$B$5:$B$193, 0),MATCH(I$3, 'NZS O&amp;G and CA100'!$E$3:$N$3, 0)),"")</f>
        <v>0</v>
      </c>
      <c r="J190" s="311">
        <f>IF(INDEX('NZS O&amp;G and CA100'!$D$5:$D$193, MATCH($A190, 'NZS O&amp;G and CA100'!$B$5:$B$193, 0)) =$B$4, INDEX('NZS O&amp;G and CA100'!$E$5:$N$193, MATCH($A190, 'NZS O&amp;G and CA100'!$B$5:$B$193, 0),MATCH(J$3, 'NZS O&amp;G and CA100'!$E$3:$N$3, 0)),"")</f>
        <v>0</v>
      </c>
      <c r="K190" s="311">
        <f>IF(INDEX('NZS O&amp;G and CA100'!$D$5:$D$193, MATCH($A190, 'NZS O&amp;G and CA100'!$B$5:$B$193, 0)) =$B$4, INDEX('NZS O&amp;G and CA100'!$E$5:$N$193, MATCH($A190, 'NZS O&amp;G and CA100'!$B$5:$B$193, 0),MATCH(K$3, 'NZS O&amp;G and CA100'!$E$3:$N$3, 0)),"")</f>
        <v>0</v>
      </c>
      <c r="L190" s="311">
        <f>IF(INDEX('NZS O&amp;G and CA100'!$D$5:$D$193, MATCH($A190, 'NZS O&amp;G and CA100'!$B$5:$B$193, 0)) =$B$4, INDEX('NZS O&amp;G and CA100'!$E$5:$N$193, MATCH($A190, 'NZS O&amp;G and CA100'!$B$5:$B$193, 0),MATCH(L$3, 'NZS O&amp;G and CA100'!$E$3:$N$3, 0)),"")</f>
        <v>0</v>
      </c>
      <c r="M190" s="312">
        <f>IF(INDEX('NZS O&amp;G and CA100'!$D$5:$D$193, MATCH($A190, 'NZS O&amp;G and CA100'!$B$5:$B$193, 0)) =$B$4, INDEX('NZS O&amp;G and CA100'!$E$5:$N$193, MATCH($A190, 'NZS O&amp;G and CA100'!$B$5:$B$193, 0),MATCH(M$3, 'NZS O&amp;G and CA100'!$E$3:$N$3, 0)),"")</f>
        <v>0</v>
      </c>
      <c r="N190" s="1"/>
      <c r="O190" s="55" t="str">
        <f>IF(INDEX('NZS O&amp;G and CA100'!$D$5:$D$193, MATCH($A190, 'NZS O&amp;G and CA100'!$B$5:$B$193, 0)) = "Alignment", INDEX('NZS O&amp;G and CA100'!$E$5:$N$193, MATCH($A190, 'NZS O&amp;G and CA100'!$B$5:$B$193, 0),MATCH(O$4, 'NZS O&amp;G and CA100'!$E$3:$N$3, 0)),"")</f>
        <v/>
      </c>
      <c r="P190" s="56" t="str">
        <f>IF(INDEX('NZS O&amp;G and CA100'!$D$5:$D$193, MATCH($A190, 'NZS O&amp;G and CA100'!$B$5:$B$193, 0)) = "Alignment", INDEX('NZS O&amp;G and CA100'!$E$5:$N$193, MATCH($A190, 'NZS O&amp;G and CA100'!$B$5:$B$193, 0),MATCH(P$4, 'NZS O&amp;G and CA100'!$E$3:$N$3, 0)),"")</f>
        <v/>
      </c>
      <c r="Q190" s="56" t="str">
        <f>IF(INDEX('NZS O&amp;G and CA100'!$D$5:$D$193, MATCH($A190, 'NZS O&amp;G and CA100'!$B$5:$B$193, 0)) = "Alignment", INDEX('NZS O&amp;G and CA100'!$E$5:$N$193, MATCH($A190, 'NZS O&amp;G and CA100'!$B$5:$B$193, 0),MATCH(Q$4, 'NZS O&amp;G and CA100'!$E$3:$N$3, 0)),"")</f>
        <v/>
      </c>
      <c r="R190" s="56" t="str">
        <f>IF(INDEX('NZS O&amp;G and CA100'!$D$5:$D$193, MATCH($A190, 'NZS O&amp;G and CA100'!$B$5:$B$193, 0)) = "Alignment", INDEX('NZS O&amp;G and CA100'!$E$5:$N$193, MATCH($A190, 'NZS O&amp;G and CA100'!$B$5:$B$193, 0),MATCH(R$4, 'NZS O&amp;G and CA100'!$E$3:$N$3, 0)),"")</f>
        <v/>
      </c>
      <c r="S190" s="56" t="str">
        <f>IF(INDEX('NZS O&amp;G and CA100'!$D$5:$D$193, MATCH($A190, 'NZS O&amp;G and CA100'!$B$5:$B$193, 0)) = "Alignment", INDEX('NZS O&amp;G and CA100'!$E$5:$N$193, MATCH($A190, 'NZS O&amp;G and CA100'!$B$5:$B$193, 0),MATCH(S$4, 'NZS O&amp;G and CA100'!$E$3:$N$3, 0)),"")</f>
        <v/>
      </c>
      <c r="T190" s="56" t="str">
        <f>IF(INDEX('NZS O&amp;G and CA100'!$D$5:$D$193, MATCH($A190, 'NZS O&amp;G and CA100'!$B$5:$B$193, 0)) = "Alignment", INDEX('NZS O&amp;G and CA100'!$E$5:$N$193, MATCH($A190, 'NZS O&amp;G and CA100'!$B$5:$B$193, 0),MATCH(T$4, 'NZS O&amp;G and CA100'!$E$3:$N$3, 0)),"")</f>
        <v/>
      </c>
      <c r="U190" s="56" t="str">
        <f>IF(INDEX('NZS O&amp;G and CA100'!$D$5:$D$193, MATCH($A190, 'NZS O&amp;G and CA100'!$B$5:$B$193, 0)) = "Alignment", INDEX('NZS O&amp;G and CA100'!$E$5:$N$193, MATCH($A190, 'NZS O&amp;G and CA100'!$B$5:$B$193, 0),MATCH(U$4, 'NZS O&amp;G and CA100'!$E$3:$N$3, 0)),"")</f>
        <v/>
      </c>
      <c r="V190" s="56" t="str">
        <f>IF(INDEX('NZS O&amp;G and CA100'!$D$5:$D$193, MATCH($A190, 'NZS O&amp;G and CA100'!$B$5:$B$193, 0)) = "Alignment", INDEX('NZS O&amp;G and CA100'!$E$5:$N$193, MATCH($A190, 'NZS O&amp;G and CA100'!$B$5:$B$193, 0),MATCH(V$4, 'NZS O&amp;G and CA100'!$E$3:$N$3, 0)),"")</f>
        <v/>
      </c>
      <c r="W190" s="56" t="str">
        <f>IF(INDEX('NZS O&amp;G and CA100'!$D$5:$D$193, MATCH($A190, 'NZS O&amp;G and CA100'!$B$5:$B$193, 0)) = "Alignment", INDEX('NZS O&amp;G and CA100'!$E$5:$N$193, MATCH($A190, 'NZS O&amp;G and CA100'!$B$5:$B$193, 0),MATCH(L$3, 'NZS O&amp;G and CA100'!$E$3:$N$3, 0)),"")</f>
        <v/>
      </c>
      <c r="X190" s="57" t="str">
        <f>IF(INDEX('NZS O&amp;G and CA100'!$D$5:$D$193, MATCH($A190, 'NZS O&amp;G and CA100'!$B$5:$B$193, 0)) = "Alignment", INDEX('NZS O&amp;G and CA100'!$E$5:$N$193, MATCH($A190, 'NZS O&amp;G and CA100'!$B$5:$B$193, 0),MATCH(M$3, 'NZS O&amp;G and CA100'!$E$3:$N$3, 0)),"")</f>
        <v/>
      </c>
      <c r="Y190" s="1"/>
      <c r="Z190" s="55"/>
      <c r="AA190" s="56"/>
      <c r="AB190" s="56"/>
      <c r="AC190" s="56"/>
      <c r="AD190" s="56"/>
      <c r="AE190" s="56"/>
      <c r="AF190" s="56"/>
      <c r="AG190" s="56"/>
      <c r="AH190" s="56"/>
      <c r="AI190" s="57"/>
      <c r="AJ190" s="1"/>
      <c r="AK190" s="49"/>
      <c r="AL190" s="49"/>
      <c r="AM190" s="49"/>
      <c r="AN190" s="49"/>
      <c r="AO190" s="49"/>
    </row>
    <row r="191" spans="1:108" s="50" customFormat="1" ht="20.149999999999999" customHeight="1" outlineLevel="1">
      <c r="A191" s="302" t="s">
        <v>390</v>
      </c>
      <c r="B191" s="239" t="s">
        <v>244</v>
      </c>
      <c r="C191" s="65" t="str">
        <f>VLOOKUP(A191, 'NZS O&amp;G and CA100'!$B$7:$D$194, 3, FALSE)</f>
        <v> </v>
      </c>
      <c r="D191" s="310">
        <f>IF($B$4="Disclosure",(SUM(D192:D194)/COUNT(D192:D194)),"")</f>
        <v>0.66666666666666663</v>
      </c>
      <c r="E191" s="311">
        <f t="shared" ref="E191:M191" si="49">IF($B$4="Disclosure",(SUM(E192:E194)/COUNT(E192:E194)),"")</f>
        <v>0.66666666666666663</v>
      </c>
      <c r="F191" s="311">
        <f t="shared" si="49"/>
        <v>0.33333333333333331</v>
      </c>
      <c r="G191" s="311">
        <f t="shared" si="49"/>
        <v>1</v>
      </c>
      <c r="H191" s="311">
        <f t="shared" si="49"/>
        <v>0</v>
      </c>
      <c r="I191" s="311">
        <f t="shared" si="49"/>
        <v>0.33333333333333331</v>
      </c>
      <c r="J191" s="311">
        <f t="shared" si="49"/>
        <v>0.33333333333333331</v>
      </c>
      <c r="K191" s="311">
        <f t="shared" si="49"/>
        <v>1</v>
      </c>
      <c r="L191" s="311">
        <f t="shared" si="49"/>
        <v>0</v>
      </c>
      <c r="M191" s="312">
        <f t="shared" si="49"/>
        <v>0.33333333333333331</v>
      </c>
      <c r="N191" s="1"/>
      <c r="O191" s="55" t="str">
        <f>IF(INDEX('NZS O&amp;G and CA100'!$D$5:$D$193, MATCH($A191, 'NZS O&amp;G and CA100'!$B$5:$B$193, 0)) = "Alignment", INDEX('NZS O&amp;G and CA100'!$E$5:$N$193, MATCH($A191, 'NZS O&amp;G and CA100'!$B$5:$B$193, 0),MATCH(O$4, 'NZS O&amp;G and CA100'!$E$3:$N$3, 0)),"")</f>
        <v/>
      </c>
      <c r="P191" s="56" t="str">
        <f>IF(INDEX('NZS O&amp;G and CA100'!$D$5:$D$193, MATCH($A191, 'NZS O&amp;G and CA100'!$B$5:$B$193, 0)) = "Alignment", INDEX('NZS O&amp;G and CA100'!$E$5:$N$193, MATCH($A191, 'NZS O&amp;G and CA100'!$B$5:$B$193, 0),MATCH(P$4, 'NZS O&amp;G and CA100'!$E$3:$N$3, 0)),"")</f>
        <v/>
      </c>
      <c r="Q191" s="56" t="str">
        <f>IF(INDEX('NZS O&amp;G and CA100'!$D$5:$D$193, MATCH($A191, 'NZS O&amp;G and CA100'!$B$5:$B$193, 0)) = "Alignment", INDEX('NZS O&amp;G and CA100'!$E$5:$N$193, MATCH($A191, 'NZS O&amp;G and CA100'!$B$5:$B$193, 0),MATCH(Q$4, 'NZS O&amp;G and CA100'!$E$3:$N$3, 0)),"")</f>
        <v/>
      </c>
      <c r="R191" s="56" t="str">
        <f>IF(INDEX('NZS O&amp;G and CA100'!$D$5:$D$193, MATCH($A191, 'NZS O&amp;G and CA100'!$B$5:$B$193, 0)) = "Alignment", INDEX('NZS O&amp;G and CA100'!$E$5:$N$193, MATCH($A191, 'NZS O&amp;G and CA100'!$B$5:$B$193, 0),MATCH(R$4, 'NZS O&amp;G and CA100'!$E$3:$N$3, 0)),"")</f>
        <v/>
      </c>
      <c r="S191" s="56" t="str">
        <f>IF(INDEX('NZS O&amp;G and CA100'!$D$5:$D$193, MATCH($A191, 'NZS O&amp;G and CA100'!$B$5:$B$193, 0)) = "Alignment", INDEX('NZS O&amp;G and CA100'!$E$5:$N$193, MATCH($A191, 'NZS O&amp;G and CA100'!$B$5:$B$193, 0),MATCH(S$4, 'NZS O&amp;G and CA100'!$E$3:$N$3, 0)),"")</f>
        <v/>
      </c>
      <c r="T191" s="56" t="str">
        <f>IF(INDEX('NZS O&amp;G and CA100'!$D$5:$D$193, MATCH($A191, 'NZS O&amp;G and CA100'!$B$5:$B$193, 0)) = "Alignment", INDEX('NZS O&amp;G and CA100'!$E$5:$N$193, MATCH($A191, 'NZS O&amp;G and CA100'!$B$5:$B$193, 0),MATCH(T$4, 'NZS O&amp;G and CA100'!$E$3:$N$3, 0)),"")</f>
        <v/>
      </c>
      <c r="U191" s="56" t="str">
        <f>IF(INDEX('NZS O&amp;G and CA100'!$D$5:$D$193, MATCH($A191, 'NZS O&amp;G and CA100'!$B$5:$B$193, 0)) = "Alignment", INDEX('NZS O&amp;G and CA100'!$E$5:$N$193, MATCH($A191, 'NZS O&amp;G and CA100'!$B$5:$B$193, 0),MATCH(U$4, 'NZS O&amp;G and CA100'!$E$3:$N$3, 0)),"")</f>
        <v/>
      </c>
      <c r="V191" s="56" t="str">
        <f>IF(INDEX('NZS O&amp;G and CA100'!$D$5:$D$193, MATCH($A191, 'NZS O&amp;G and CA100'!$B$5:$B$193, 0)) = "Alignment", INDEX('NZS O&amp;G and CA100'!$E$5:$N$193, MATCH($A191, 'NZS O&amp;G and CA100'!$B$5:$B$193, 0),MATCH(V$4, 'NZS O&amp;G and CA100'!$E$3:$N$3, 0)),"")</f>
        <v/>
      </c>
      <c r="W191" s="56" t="str">
        <f>IF(INDEX('NZS O&amp;G and CA100'!$D$5:$D$193, MATCH($A191, 'NZS O&amp;G and CA100'!$B$5:$B$193, 0)) = "Alignment", INDEX('NZS O&amp;G and CA100'!$E$5:$N$193, MATCH($A191, 'NZS O&amp;G and CA100'!$B$5:$B$193, 0),MATCH(L$3, 'NZS O&amp;G and CA100'!$E$3:$N$3, 0)),"")</f>
        <v/>
      </c>
      <c r="X191" s="57" t="str">
        <f>IF(INDEX('NZS O&amp;G and CA100'!$D$5:$D$193, MATCH($A191, 'NZS O&amp;G and CA100'!$B$5:$B$193, 0)) = "Alignment", INDEX('NZS O&amp;G and CA100'!$E$5:$N$193, MATCH($A191, 'NZS O&amp;G and CA100'!$B$5:$B$193, 0),MATCH(M$3, 'NZS O&amp;G and CA100'!$E$3:$N$3, 0)),"")</f>
        <v/>
      </c>
      <c r="Y191" s="1"/>
      <c r="Z191" s="55"/>
      <c r="AA191" s="56"/>
      <c r="AB191" s="56"/>
      <c r="AC191" s="56"/>
      <c r="AD191" s="56"/>
      <c r="AE191" s="56"/>
      <c r="AF191" s="56"/>
      <c r="AG191" s="56"/>
      <c r="AH191" s="56"/>
      <c r="AI191" s="57"/>
      <c r="AJ191" s="1"/>
      <c r="AK191" s="49"/>
      <c r="AL191" s="49"/>
      <c r="AM191" s="49"/>
      <c r="AN191" s="49"/>
      <c r="AO191" s="49"/>
    </row>
    <row r="192" spans="1:108" s="50" customFormat="1" ht="20.149999999999999" customHeight="1" outlineLevel="2">
      <c r="A192" s="302" t="s">
        <v>245</v>
      </c>
      <c r="B192" s="240" t="s">
        <v>246</v>
      </c>
      <c r="C192" s="236" t="str">
        <f>VLOOKUP(A192, 'NZS O&amp;G and CA100'!$B$7:$D$194, 3, FALSE)</f>
        <v>Disclosure</v>
      </c>
      <c r="D192" s="310">
        <f>IF(INDEX('NZS O&amp;G and CA100'!$D$5:$D$193, MATCH($A192, 'NZS O&amp;G and CA100'!$B$5:$B$193, 0)) =$B$4, INDEX('NZS O&amp;G and CA100'!$E$5:$N$193, MATCH($A192, 'NZS O&amp;G and CA100'!$B$5:$B$193, 0),MATCH(D$3, 'NZS O&amp;G and CA100'!$E$3:$N$3, 0)),"")</f>
        <v>1</v>
      </c>
      <c r="E192" s="311">
        <f>IF(INDEX('NZS O&amp;G and CA100'!$D$5:$D$193, MATCH($A192, 'NZS O&amp;G and CA100'!$B$5:$B$193, 0)) =$B$4, INDEX('NZS O&amp;G and CA100'!$E$5:$N$193, MATCH($A192, 'NZS O&amp;G and CA100'!$B$5:$B$193, 0),MATCH(E$3, 'NZS O&amp;G and CA100'!$E$3:$N$3, 0)),"")</f>
        <v>1</v>
      </c>
      <c r="F192" s="311">
        <f>IF(INDEX('NZS O&amp;G and CA100'!$D$5:$D$193, MATCH($A192, 'NZS O&amp;G and CA100'!$B$5:$B$193, 0)) =$B$4, INDEX('NZS O&amp;G and CA100'!$E$5:$N$193, MATCH($A192, 'NZS O&amp;G and CA100'!$B$5:$B$193, 0),MATCH(F$3, 'NZS O&amp;G and CA100'!$E$3:$N$3, 0)),"")</f>
        <v>0</v>
      </c>
      <c r="G192" s="311">
        <f>IF(INDEX('NZS O&amp;G and CA100'!$D$5:$D$193, MATCH($A192, 'NZS O&amp;G and CA100'!$B$5:$B$193, 0)) =$B$4, INDEX('NZS O&amp;G and CA100'!$E$5:$N$193, MATCH($A192, 'NZS O&amp;G and CA100'!$B$5:$B$193, 0),MATCH(G$3, 'NZS O&amp;G and CA100'!$E$3:$N$3, 0)),"")</f>
        <v>1</v>
      </c>
      <c r="H192" s="311">
        <f>IF(INDEX('NZS O&amp;G and CA100'!$D$5:$D$193, MATCH($A192, 'NZS O&amp;G and CA100'!$B$5:$B$193, 0)) =$B$4, INDEX('NZS O&amp;G and CA100'!$E$5:$N$193, MATCH($A192, 'NZS O&amp;G and CA100'!$B$5:$B$193, 0),MATCH(H$3, 'NZS O&amp;G and CA100'!$E$3:$N$3, 0)),"")</f>
        <v>0</v>
      </c>
      <c r="I192" s="311">
        <f>IF(INDEX('NZS O&amp;G and CA100'!$D$5:$D$193, MATCH($A192, 'NZS O&amp;G and CA100'!$B$5:$B$193, 0)) =$B$4, INDEX('NZS O&amp;G and CA100'!$E$5:$N$193, MATCH($A192, 'NZS O&amp;G and CA100'!$B$5:$B$193, 0),MATCH(I$3, 'NZS O&amp;G and CA100'!$E$3:$N$3, 0)),"")</f>
        <v>0</v>
      </c>
      <c r="J192" s="311">
        <f>IF(INDEX('NZS O&amp;G and CA100'!$D$5:$D$193, MATCH($A192, 'NZS O&amp;G and CA100'!$B$5:$B$193, 0)) =$B$4, INDEX('NZS O&amp;G and CA100'!$E$5:$N$193, MATCH($A192, 'NZS O&amp;G and CA100'!$B$5:$B$193, 0),MATCH(J$3, 'NZS O&amp;G and CA100'!$E$3:$N$3, 0)),"")</f>
        <v>1</v>
      </c>
      <c r="K192" s="311">
        <f>IF(INDEX('NZS O&amp;G and CA100'!$D$5:$D$193, MATCH($A192, 'NZS O&amp;G and CA100'!$B$5:$B$193, 0)) =$B$4, INDEX('NZS O&amp;G and CA100'!$E$5:$N$193, MATCH($A192, 'NZS O&amp;G and CA100'!$B$5:$B$193, 0),MATCH(K$3, 'NZS O&amp;G and CA100'!$E$3:$N$3, 0)),"")</f>
        <v>1</v>
      </c>
      <c r="L192" s="311">
        <f>IF(INDEX('NZS O&amp;G and CA100'!$D$5:$D$193, MATCH($A192, 'NZS O&amp;G and CA100'!$B$5:$B$193, 0)) =$B$4, INDEX('NZS O&amp;G and CA100'!$E$5:$N$193, MATCH($A192, 'NZS O&amp;G and CA100'!$B$5:$B$193, 0),MATCH(L$3, 'NZS O&amp;G and CA100'!$E$3:$N$3, 0)),"")</f>
        <v>0</v>
      </c>
      <c r="M192" s="312">
        <f>IF(INDEX('NZS O&amp;G and CA100'!$D$5:$D$193, MATCH($A192, 'NZS O&amp;G and CA100'!$B$5:$B$193, 0)) =$B$4, INDEX('NZS O&amp;G and CA100'!$E$5:$N$193, MATCH($A192, 'NZS O&amp;G and CA100'!$B$5:$B$193, 0),MATCH(M$3, 'NZS O&amp;G and CA100'!$E$3:$N$3, 0)),"")</f>
        <v>0</v>
      </c>
      <c r="N192" s="1"/>
      <c r="O192" s="55" t="str">
        <f>IF(INDEX('NZS O&amp;G and CA100'!$D$5:$D$193, MATCH($A192, 'NZS O&amp;G and CA100'!$B$5:$B$193, 0)) = "Alignment", INDEX('NZS O&amp;G and CA100'!$E$5:$N$193, MATCH($A192, 'NZS O&amp;G and CA100'!$B$5:$B$193, 0),MATCH(O$4, 'NZS O&amp;G and CA100'!$E$3:$N$3, 0)),"")</f>
        <v/>
      </c>
      <c r="P192" s="56" t="str">
        <f>IF(INDEX('NZS O&amp;G and CA100'!$D$5:$D$193, MATCH($A192, 'NZS O&amp;G and CA100'!$B$5:$B$193, 0)) = "Alignment", INDEX('NZS O&amp;G and CA100'!$E$5:$N$193, MATCH($A192, 'NZS O&amp;G and CA100'!$B$5:$B$193, 0),MATCH(P$4, 'NZS O&amp;G and CA100'!$E$3:$N$3, 0)),"")</f>
        <v/>
      </c>
      <c r="Q192" s="56" t="str">
        <f>IF(INDEX('NZS O&amp;G and CA100'!$D$5:$D$193, MATCH($A192, 'NZS O&amp;G and CA100'!$B$5:$B$193, 0)) = "Alignment", INDEX('NZS O&amp;G and CA100'!$E$5:$N$193, MATCH($A192, 'NZS O&amp;G and CA100'!$B$5:$B$193, 0),MATCH(Q$4, 'NZS O&amp;G and CA100'!$E$3:$N$3, 0)),"")</f>
        <v/>
      </c>
      <c r="R192" s="56" t="str">
        <f>IF(INDEX('NZS O&amp;G and CA100'!$D$5:$D$193, MATCH($A192, 'NZS O&amp;G and CA100'!$B$5:$B$193, 0)) = "Alignment", INDEX('NZS O&amp;G and CA100'!$E$5:$N$193, MATCH($A192, 'NZS O&amp;G and CA100'!$B$5:$B$193, 0),MATCH(R$4, 'NZS O&amp;G and CA100'!$E$3:$N$3, 0)),"")</f>
        <v/>
      </c>
      <c r="S192" s="56" t="str">
        <f>IF(INDEX('NZS O&amp;G and CA100'!$D$5:$D$193, MATCH($A192, 'NZS O&amp;G and CA100'!$B$5:$B$193, 0)) = "Alignment", INDEX('NZS O&amp;G and CA100'!$E$5:$N$193, MATCH($A192, 'NZS O&amp;G and CA100'!$B$5:$B$193, 0),MATCH(S$4, 'NZS O&amp;G and CA100'!$E$3:$N$3, 0)),"")</f>
        <v/>
      </c>
      <c r="T192" s="56" t="str">
        <f>IF(INDEX('NZS O&amp;G and CA100'!$D$5:$D$193, MATCH($A192, 'NZS O&amp;G and CA100'!$B$5:$B$193, 0)) = "Alignment", INDEX('NZS O&amp;G and CA100'!$E$5:$N$193, MATCH($A192, 'NZS O&amp;G and CA100'!$B$5:$B$193, 0),MATCH(T$4, 'NZS O&amp;G and CA100'!$E$3:$N$3, 0)),"")</f>
        <v/>
      </c>
      <c r="U192" s="56" t="str">
        <f>IF(INDEX('NZS O&amp;G and CA100'!$D$5:$D$193, MATCH($A192, 'NZS O&amp;G and CA100'!$B$5:$B$193, 0)) = "Alignment", INDEX('NZS O&amp;G and CA100'!$E$5:$N$193, MATCH($A192, 'NZS O&amp;G and CA100'!$B$5:$B$193, 0),MATCH(U$4, 'NZS O&amp;G and CA100'!$E$3:$N$3, 0)),"")</f>
        <v/>
      </c>
      <c r="V192" s="56" t="str">
        <f>IF(INDEX('NZS O&amp;G and CA100'!$D$5:$D$193, MATCH($A192, 'NZS O&amp;G and CA100'!$B$5:$B$193, 0)) = "Alignment", INDEX('NZS O&amp;G and CA100'!$E$5:$N$193, MATCH($A192, 'NZS O&amp;G and CA100'!$B$5:$B$193, 0),MATCH(V$4, 'NZS O&amp;G and CA100'!$E$3:$N$3, 0)),"")</f>
        <v/>
      </c>
      <c r="W192" s="56" t="str">
        <f>IF(INDEX('NZS O&amp;G and CA100'!$D$5:$D$193, MATCH($A192, 'NZS O&amp;G and CA100'!$B$5:$B$193, 0)) = "Alignment", INDEX('NZS O&amp;G and CA100'!$E$5:$N$193, MATCH($A192, 'NZS O&amp;G and CA100'!$B$5:$B$193, 0),MATCH(L$3, 'NZS O&amp;G and CA100'!$E$3:$N$3, 0)),"")</f>
        <v/>
      </c>
      <c r="X192" s="57" t="str">
        <f>IF(INDEX('NZS O&amp;G and CA100'!$D$5:$D$193, MATCH($A192, 'NZS O&amp;G and CA100'!$B$5:$B$193, 0)) = "Alignment", INDEX('NZS O&amp;G and CA100'!$E$5:$N$193, MATCH($A192, 'NZS O&amp;G and CA100'!$B$5:$B$193, 0),MATCH(M$3, 'NZS O&amp;G and CA100'!$E$3:$N$3, 0)),"")</f>
        <v/>
      </c>
      <c r="Y192" s="1"/>
      <c r="Z192" s="55"/>
      <c r="AA192" s="56"/>
      <c r="AB192" s="56"/>
      <c r="AC192" s="56"/>
      <c r="AD192" s="56"/>
      <c r="AE192" s="56"/>
      <c r="AF192" s="56"/>
      <c r="AG192" s="56"/>
      <c r="AH192" s="56"/>
      <c r="AI192" s="57"/>
      <c r="AJ192" s="1"/>
      <c r="AK192" s="49"/>
      <c r="AL192" s="49"/>
      <c r="AM192" s="49"/>
      <c r="AN192" s="49"/>
      <c r="AO192" s="49"/>
    </row>
    <row r="193" spans="1:41" s="50" customFormat="1" ht="20.149999999999999" customHeight="1" outlineLevel="2">
      <c r="A193" s="302" t="s">
        <v>247</v>
      </c>
      <c r="B193" s="240" t="s">
        <v>248</v>
      </c>
      <c r="C193" s="236" t="str">
        <f>VLOOKUP(A193, 'NZS O&amp;G and CA100'!$B$7:$D$194, 3, FALSE)</f>
        <v>Disclosure</v>
      </c>
      <c r="D193" s="310">
        <f>IF(INDEX('NZS O&amp;G and CA100'!$D$5:$D$193, MATCH($A193, 'NZS O&amp;G and CA100'!$B$5:$B$193, 0)) =$B$4, INDEX('NZS O&amp;G and CA100'!$E$5:$N$193, MATCH($A193, 'NZS O&amp;G and CA100'!$B$5:$B$193, 0),MATCH(D$3, 'NZS O&amp;G and CA100'!$E$3:$N$3, 0)),"")</f>
        <v>1</v>
      </c>
      <c r="E193" s="311">
        <f>IF(INDEX('NZS O&amp;G and CA100'!$D$5:$D$193, MATCH($A193, 'NZS O&amp;G and CA100'!$B$5:$B$193, 0)) =$B$4, INDEX('NZS O&amp;G and CA100'!$E$5:$N$193, MATCH($A193, 'NZS O&amp;G and CA100'!$B$5:$B$193, 0),MATCH(E$3, 'NZS O&amp;G and CA100'!$E$3:$N$3, 0)),"")</f>
        <v>1</v>
      </c>
      <c r="F193" s="311">
        <f>IF(INDEX('NZS O&amp;G and CA100'!$D$5:$D$193, MATCH($A193, 'NZS O&amp;G and CA100'!$B$5:$B$193, 0)) =$B$4, INDEX('NZS O&amp;G and CA100'!$E$5:$N$193, MATCH($A193, 'NZS O&amp;G and CA100'!$B$5:$B$193, 0),MATCH(F$3, 'NZS O&amp;G and CA100'!$E$3:$N$3, 0)),"")</f>
        <v>1</v>
      </c>
      <c r="G193" s="311">
        <f>IF(INDEX('NZS O&amp;G and CA100'!$D$5:$D$193, MATCH($A193, 'NZS O&amp;G and CA100'!$B$5:$B$193, 0)) =$B$4, INDEX('NZS O&amp;G and CA100'!$E$5:$N$193, MATCH($A193, 'NZS O&amp;G and CA100'!$B$5:$B$193, 0),MATCH(G$3, 'NZS O&amp;G and CA100'!$E$3:$N$3, 0)),"")</f>
        <v>1</v>
      </c>
      <c r="H193" s="311">
        <f>IF(INDEX('NZS O&amp;G and CA100'!$D$5:$D$193, MATCH($A193, 'NZS O&amp;G and CA100'!$B$5:$B$193, 0)) =$B$4, INDEX('NZS O&amp;G and CA100'!$E$5:$N$193, MATCH($A193, 'NZS O&amp;G and CA100'!$B$5:$B$193, 0),MATCH(H$3, 'NZS O&amp;G and CA100'!$E$3:$N$3, 0)),"")</f>
        <v>0</v>
      </c>
      <c r="I193" s="311">
        <f>IF(INDEX('NZS O&amp;G and CA100'!$D$5:$D$193, MATCH($A193, 'NZS O&amp;G and CA100'!$B$5:$B$193, 0)) =$B$4, INDEX('NZS O&amp;G and CA100'!$E$5:$N$193, MATCH($A193, 'NZS O&amp;G and CA100'!$B$5:$B$193, 0),MATCH(I$3, 'NZS O&amp;G and CA100'!$E$3:$N$3, 0)),"")</f>
        <v>1</v>
      </c>
      <c r="J193" s="311">
        <f>IF(INDEX('NZS O&amp;G and CA100'!$D$5:$D$193, MATCH($A193, 'NZS O&amp;G and CA100'!$B$5:$B$193, 0)) =$B$4, INDEX('NZS O&amp;G and CA100'!$E$5:$N$193, MATCH($A193, 'NZS O&amp;G and CA100'!$B$5:$B$193, 0),MATCH(J$3, 'NZS O&amp;G and CA100'!$E$3:$N$3, 0)),"")</f>
        <v>0</v>
      </c>
      <c r="K193" s="311">
        <f>IF(INDEX('NZS O&amp;G and CA100'!$D$5:$D$193, MATCH($A193, 'NZS O&amp;G and CA100'!$B$5:$B$193, 0)) =$B$4, INDEX('NZS O&amp;G and CA100'!$E$5:$N$193, MATCH($A193, 'NZS O&amp;G and CA100'!$B$5:$B$193, 0),MATCH(K$3, 'NZS O&amp;G and CA100'!$E$3:$N$3, 0)),"")</f>
        <v>1</v>
      </c>
      <c r="L193" s="311">
        <f>IF(INDEX('NZS O&amp;G and CA100'!$D$5:$D$193, MATCH($A193, 'NZS O&amp;G and CA100'!$B$5:$B$193, 0)) =$B$4, INDEX('NZS O&amp;G and CA100'!$E$5:$N$193, MATCH($A193, 'NZS O&amp;G and CA100'!$B$5:$B$193, 0),MATCH(L$3, 'NZS O&amp;G and CA100'!$E$3:$N$3, 0)),"")</f>
        <v>0</v>
      </c>
      <c r="M193" s="312">
        <f>IF(INDEX('NZS O&amp;G and CA100'!$D$5:$D$193, MATCH($A193, 'NZS O&amp;G and CA100'!$B$5:$B$193, 0)) =$B$4, INDEX('NZS O&amp;G and CA100'!$E$5:$N$193, MATCH($A193, 'NZS O&amp;G and CA100'!$B$5:$B$193, 0),MATCH(M$3, 'NZS O&amp;G and CA100'!$E$3:$N$3, 0)),"")</f>
        <v>1</v>
      </c>
      <c r="N193" s="1"/>
      <c r="O193" s="55" t="str">
        <f>IF(INDEX('NZS O&amp;G and CA100'!$D$5:$D$193, MATCH($A193, 'NZS O&amp;G and CA100'!$B$5:$B$193, 0)) = "Alignment", INDEX('NZS O&amp;G and CA100'!$E$5:$N$193, MATCH($A193, 'NZS O&amp;G and CA100'!$B$5:$B$193, 0),MATCH(O$4, 'NZS O&amp;G and CA100'!$E$3:$N$3, 0)),"")</f>
        <v/>
      </c>
      <c r="P193" s="56" t="str">
        <f>IF(INDEX('NZS O&amp;G and CA100'!$D$5:$D$193, MATCH($A193, 'NZS O&amp;G and CA100'!$B$5:$B$193, 0)) = "Alignment", INDEX('NZS O&amp;G and CA100'!$E$5:$N$193, MATCH($A193, 'NZS O&amp;G and CA100'!$B$5:$B$193, 0),MATCH(P$4, 'NZS O&amp;G and CA100'!$E$3:$N$3, 0)),"")</f>
        <v/>
      </c>
      <c r="Q193" s="56" t="str">
        <f>IF(INDEX('NZS O&amp;G and CA100'!$D$5:$D$193, MATCH($A193, 'NZS O&amp;G and CA100'!$B$5:$B$193, 0)) = "Alignment", INDEX('NZS O&amp;G and CA100'!$E$5:$N$193, MATCH($A193, 'NZS O&amp;G and CA100'!$B$5:$B$193, 0),MATCH(Q$4, 'NZS O&amp;G and CA100'!$E$3:$N$3, 0)),"")</f>
        <v/>
      </c>
      <c r="R193" s="56" t="str">
        <f>IF(INDEX('NZS O&amp;G and CA100'!$D$5:$D$193, MATCH($A193, 'NZS O&amp;G and CA100'!$B$5:$B$193, 0)) = "Alignment", INDEX('NZS O&amp;G and CA100'!$E$5:$N$193, MATCH($A193, 'NZS O&amp;G and CA100'!$B$5:$B$193, 0),MATCH(R$4, 'NZS O&amp;G and CA100'!$E$3:$N$3, 0)),"")</f>
        <v/>
      </c>
      <c r="S193" s="56" t="str">
        <f>IF(INDEX('NZS O&amp;G and CA100'!$D$5:$D$193, MATCH($A193, 'NZS O&amp;G and CA100'!$B$5:$B$193, 0)) = "Alignment", INDEX('NZS O&amp;G and CA100'!$E$5:$N$193, MATCH($A193, 'NZS O&amp;G and CA100'!$B$5:$B$193, 0),MATCH(S$4, 'NZS O&amp;G and CA100'!$E$3:$N$3, 0)),"")</f>
        <v/>
      </c>
      <c r="T193" s="56" t="str">
        <f>IF(INDEX('NZS O&amp;G and CA100'!$D$5:$D$193, MATCH($A193, 'NZS O&amp;G and CA100'!$B$5:$B$193, 0)) = "Alignment", INDEX('NZS O&amp;G and CA100'!$E$5:$N$193, MATCH($A193, 'NZS O&amp;G and CA100'!$B$5:$B$193, 0),MATCH(T$4, 'NZS O&amp;G and CA100'!$E$3:$N$3, 0)),"")</f>
        <v/>
      </c>
      <c r="U193" s="56" t="str">
        <f>IF(INDEX('NZS O&amp;G and CA100'!$D$5:$D$193, MATCH($A193, 'NZS O&amp;G and CA100'!$B$5:$B$193, 0)) = "Alignment", INDEX('NZS O&amp;G and CA100'!$E$5:$N$193, MATCH($A193, 'NZS O&amp;G and CA100'!$B$5:$B$193, 0),MATCH(U$4, 'NZS O&amp;G and CA100'!$E$3:$N$3, 0)),"")</f>
        <v/>
      </c>
      <c r="V193" s="56" t="str">
        <f>IF(INDEX('NZS O&amp;G and CA100'!$D$5:$D$193, MATCH($A193, 'NZS O&amp;G and CA100'!$B$5:$B$193, 0)) = "Alignment", INDEX('NZS O&amp;G and CA100'!$E$5:$N$193, MATCH($A193, 'NZS O&amp;G and CA100'!$B$5:$B$193, 0),MATCH(V$4, 'NZS O&amp;G and CA100'!$E$3:$N$3, 0)),"")</f>
        <v/>
      </c>
      <c r="W193" s="56" t="str">
        <f>IF(INDEX('NZS O&amp;G and CA100'!$D$5:$D$193, MATCH($A193, 'NZS O&amp;G and CA100'!$B$5:$B$193, 0)) = "Alignment", INDEX('NZS O&amp;G and CA100'!$E$5:$N$193, MATCH($A193, 'NZS O&amp;G and CA100'!$B$5:$B$193, 0),MATCH(L$3, 'NZS O&amp;G and CA100'!$E$3:$N$3, 0)),"")</f>
        <v/>
      </c>
      <c r="X193" s="57" t="str">
        <f>IF(INDEX('NZS O&amp;G and CA100'!$D$5:$D$193, MATCH($A193, 'NZS O&amp;G and CA100'!$B$5:$B$193, 0)) = "Alignment", INDEX('NZS O&amp;G and CA100'!$E$5:$N$193, MATCH($A193, 'NZS O&amp;G and CA100'!$B$5:$B$193, 0),MATCH(M$3, 'NZS O&amp;G and CA100'!$E$3:$N$3, 0)),"")</f>
        <v/>
      </c>
      <c r="Y193" s="1"/>
      <c r="Z193" s="55"/>
      <c r="AA193" s="56"/>
      <c r="AB193" s="56"/>
      <c r="AC193" s="56"/>
      <c r="AD193" s="56"/>
      <c r="AE193" s="56"/>
      <c r="AF193" s="56"/>
      <c r="AG193" s="56"/>
      <c r="AH193" s="56"/>
      <c r="AI193" s="57"/>
      <c r="AJ193" s="1"/>
      <c r="AK193" s="49"/>
      <c r="AL193" s="49"/>
      <c r="AM193" s="49"/>
      <c r="AN193" s="49"/>
      <c r="AO193" s="49"/>
    </row>
    <row r="194" spans="1:41" s="50" customFormat="1" ht="20.149999999999999" customHeight="1" outlineLevel="2">
      <c r="A194" s="302" t="s">
        <v>249</v>
      </c>
      <c r="B194" s="240" t="s">
        <v>250</v>
      </c>
      <c r="C194" s="236" t="str">
        <f>VLOOKUP(A194, 'NZS O&amp;G and CA100'!$B$7:$D$194, 3, FALSE)</f>
        <v>Disclosure</v>
      </c>
      <c r="D194" s="310">
        <f>IF(INDEX('NZS O&amp;G and CA100'!$D$5:$D$193, MATCH($A194, 'NZS O&amp;G and CA100'!$B$5:$B$193, 0)) =$B$4, INDEX('NZS O&amp;G and CA100'!$E$5:$N$193, MATCH($A194, 'NZS O&amp;G and CA100'!$B$5:$B$193, 0),MATCH(D$3, 'NZS O&amp;G and CA100'!$E$3:$N$3, 0)),"")</f>
        <v>0</v>
      </c>
      <c r="E194" s="311">
        <f>IF(INDEX('NZS O&amp;G and CA100'!$D$5:$D$193, MATCH($A194, 'NZS O&amp;G and CA100'!$B$5:$B$193, 0)) =$B$4, INDEX('NZS O&amp;G and CA100'!$E$5:$N$193, MATCH($A194, 'NZS O&amp;G and CA100'!$B$5:$B$193, 0),MATCH(E$3, 'NZS O&amp;G and CA100'!$E$3:$N$3, 0)),"")</f>
        <v>0</v>
      </c>
      <c r="F194" s="311">
        <f>IF(INDEX('NZS O&amp;G and CA100'!$D$5:$D$193, MATCH($A194, 'NZS O&amp;G and CA100'!$B$5:$B$193, 0)) =$B$4, INDEX('NZS O&amp;G and CA100'!$E$5:$N$193, MATCH($A194, 'NZS O&amp;G and CA100'!$B$5:$B$193, 0),MATCH(F$3, 'NZS O&amp;G and CA100'!$E$3:$N$3, 0)),"")</f>
        <v>0</v>
      </c>
      <c r="G194" s="311">
        <f>IF(INDEX('NZS O&amp;G and CA100'!$D$5:$D$193, MATCH($A194, 'NZS O&amp;G and CA100'!$B$5:$B$193, 0)) =$B$4, INDEX('NZS O&amp;G and CA100'!$E$5:$N$193, MATCH($A194, 'NZS O&amp;G and CA100'!$B$5:$B$193, 0),MATCH(G$3, 'NZS O&amp;G and CA100'!$E$3:$N$3, 0)),"")</f>
        <v>1</v>
      </c>
      <c r="H194" s="311">
        <f>IF(INDEX('NZS O&amp;G and CA100'!$D$5:$D$193, MATCH($A194, 'NZS O&amp;G and CA100'!$B$5:$B$193, 0)) =$B$4, INDEX('NZS O&amp;G and CA100'!$E$5:$N$193, MATCH($A194, 'NZS O&amp;G and CA100'!$B$5:$B$193, 0),MATCH(H$3, 'NZS O&amp;G and CA100'!$E$3:$N$3, 0)),"")</f>
        <v>0</v>
      </c>
      <c r="I194" s="311">
        <f>IF(INDEX('NZS O&amp;G and CA100'!$D$5:$D$193, MATCH($A194, 'NZS O&amp;G and CA100'!$B$5:$B$193, 0)) =$B$4, INDEX('NZS O&amp;G and CA100'!$E$5:$N$193, MATCH($A194, 'NZS O&amp;G and CA100'!$B$5:$B$193, 0),MATCH(I$3, 'NZS O&amp;G and CA100'!$E$3:$N$3, 0)),"")</f>
        <v>0</v>
      </c>
      <c r="J194" s="311">
        <f>IF(INDEX('NZS O&amp;G and CA100'!$D$5:$D$193, MATCH($A194, 'NZS O&amp;G and CA100'!$B$5:$B$193, 0)) =$B$4, INDEX('NZS O&amp;G and CA100'!$E$5:$N$193, MATCH($A194, 'NZS O&amp;G and CA100'!$B$5:$B$193, 0),MATCH(J$3, 'NZS O&amp;G and CA100'!$E$3:$N$3, 0)),"")</f>
        <v>0</v>
      </c>
      <c r="K194" s="311">
        <f>IF(INDEX('NZS O&amp;G and CA100'!$D$5:$D$193, MATCH($A194, 'NZS O&amp;G and CA100'!$B$5:$B$193, 0)) =$B$4, INDEX('NZS O&amp;G and CA100'!$E$5:$N$193, MATCH($A194, 'NZS O&amp;G and CA100'!$B$5:$B$193, 0),MATCH(K$3, 'NZS O&amp;G and CA100'!$E$3:$N$3, 0)),"")</f>
        <v>1</v>
      </c>
      <c r="L194" s="311">
        <f>IF(INDEX('NZS O&amp;G and CA100'!$D$5:$D$193, MATCH($A194, 'NZS O&amp;G and CA100'!$B$5:$B$193, 0)) =$B$4, INDEX('NZS O&amp;G and CA100'!$E$5:$N$193, MATCH($A194, 'NZS O&amp;G and CA100'!$B$5:$B$193, 0),MATCH(L$3, 'NZS O&amp;G and CA100'!$E$3:$N$3, 0)),"")</f>
        <v>0</v>
      </c>
      <c r="M194" s="312">
        <f>IF(INDEX('NZS O&amp;G and CA100'!$D$5:$D$193, MATCH($A194, 'NZS O&amp;G and CA100'!$B$5:$B$193, 0)) =$B$4, INDEX('NZS O&amp;G and CA100'!$E$5:$N$193, MATCH($A194, 'NZS O&amp;G and CA100'!$B$5:$B$193, 0),MATCH(M$3, 'NZS O&amp;G and CA100'!$E$3:$N$3, 0)),"")</f>
        <v>0</v>
      </c>
      <c r="N194" s="1"/>
      <c r="O194" s="55" t="str">
        <f>IF(INDEX('NZS O&amp;G and CA100'!$D$5:$D$193, MATCH($A194, 'NZS O&amp;G and CA100'!$B$5:$B$193, 0)) = "Alignment", INDEX('NZS O&amp;G and CA100'!$E$5:$N$193, MATCH($A194, 'NZS O&amp;G and CA100'!$B$5:$B$193, 0),MATCH(O$4, 'NZS O&amp;G and CA100'!$E$3:$N$3, 0)),"")</f>
        <v/>
      </c>
      <c r="P194" s="56" t="str">
        <f>IF(INDEX('NZS O&amp;G and CA100'!$D$5:$D$193, MATCH($A194, 'NZS O&amp;G and CA100'!$B$5:$B$193, 0)) = "Alignment", INDEX('NZS O&amp;G and CA100'!$E$5:$N$193, MATCH($A194, 'NZS O&amp;G and CA100'!$B$5:$B$193, 0),MATCH(P$4, 'NZS O&amp;G and CA100'!$E$3:$N$3, 0)),"")</f>
        <v/>
      </c>
      <c r="Q194" s="56" t="str">
        <f>IF(INDEX('NZS O&amp;G and CA100'!$D$5:$D$193, MATCH($A194, 'NZS O&amp;G and CA100'!$B$5:$B$193, 0)) = "Alignment", INDEX('NZS O&amp;G and CA100'!$E$5:$N$193, MATCH($A194, 'NZS O&amp;G and CA100'!$B$5:$B$193, 0),MATCH(Q$4, 'NZS O&amp;G and CA100'!$E$3:$N$3, 0)),"")</f>
        <v/>
      </c>
      <c r="R194" s="56" t="str">
        <f>IF(INDEX('NZS O&amp;G and CA100'!$D$5:$D$193, MATCH($A194, 'NZS O&amp;G and CA100'!$B$5:$B$193, 0)) = "Alignment", INDEX('NZS O&amp;G and CA100'!$E$5:$N$193, MATCH($A194, 'NZS O&amp;G and CA100'!$B$5:$B$193, 0),MATCH(R$4, 'NZS O&amp;G and CA100'!$E$3:$N$3, 0)),"")</f>
        <v/>
      </c>
      <c r="S194" s="56" t="str">
        <f>IF(INDEX('NZS O&amp;G and CA100'!$D$5:$D$193, MATCH($A194, 'NZS O&amp;G and CA100'!$B$5:$B$193, 0)) = "Alignment", INDEX('NZS O&amp;G and CA100'!$E$5:$N$193, MATCH($A194, 'NZS O&amp;G and CA100'!$B$5:$B$193, 0),MATCH(S$4, 'NZS O&amp;G and CA100'!$E$3:$N$3, 0)),"")</f>
        <v/>
      </c>
      <c r="T194" s="56" t="str">
        <f>IF(INDEX('NZS O&amp;G and CA100'!$D$5:$D$193, MATCH($A194, 'NZS O&amp;G and CA100'!$B$5:$B$193, 0)) = "Alignment", INDEX('NZS O&amp;G and CA100'!$E$5:$N$193, MATCH($A194, 'NZS O&amp;G and CA100'!$B$5:$B$193, 0),MATCH(T$4, 'NZS O&amp;G and CA100'!$E$3:$N$3, 0)),"")</f>
        <v/>
      </c>
      <c r="U194" s="56" t="str">
        <f>IF(INDEX('NZS O&amp;G and CA100'!$D$5:$D$193, MATCH($A194, 'NZS O&amp;G and CA100'!$B$5:$B$193, 0)) = "Alignment", INDEX('NZS O&amp;G and CA100'!$E$5:$N$193, MATCH($A194, 'NZS O&amp;G and CA100'!$B$5:$B$193, 0),MATCH(U$4, 'NZS O&amp;G and CA100'!$E$3:$N$3, 0)),"")</f>
        <v/>
      </c>
      <c r="V194" s="56" t="str">
        <f>IF(INDEX('NZS O&amp;G and CA100'!$D$5:$D$193, MATCH($A194, 'NZS O&amp;G and CA100'!$B$5:$B$193, 0)) = "Alignment", INDEX('NZS O&amp;G and CA100'!$E$5:$N$193, MATCH($A194, 'NZS O&amp;G and CA100'!$B$5:$B$193, 0),MATCH(V$4, 'NZS O&amp;G and CA100'!$E$3:$N$3, 0)),"")</f>
        <v/>
      </c>
      <c r="W194" s="56" t="str">
        <f>IF(INDEX('NZS O&amp;G and CA100'!$D$5:$D$193, MATCH($A194, 'NZS O&amp;G and CA100'!$B$5:$B$193, 0)) = "Alignment", INDEX('NZS O&amp;G and CA100'!$E$5:$N$193, MATCH($A194, 'NZS O&amp;G and CA100'!$B$5:$B$193, 0),MATCH(L$3, 'NZS O&amp;G and CA100'!$E$3:$N$3, 0)),"")</f>
        <v/>
      </c>
      <c r="X194" s="57" t="str">
        <f>IF(INDEX('NZS O&amp;G and CA100'!$D$5:$D$193, MATCH($A194, 'NZS O&amp;G and CA100'!$B$5:$B$193, 0)) = "Alignment", INDEX('NZS O&amp;G and CA100'!$E$5:$N$193, MATCH($A194, 'NZS O&amp;G and CA100'!$B$5:$B$193, 0),MATCH(M$3, 'NZS O&amp;G and CA100'!$E$3:$N$3, 0)),"")</f>
        <v/>
      </c>
      <c r="Y194" s="1"/>
      <c r="Z194" s="55"/>
      <c r="AA194" s="56"/>
      <c r="AB194" s="56"/>
      <c r="AC194" s="56"/>
      <c r="AD194" s="56"/>
      <c r="AE194" s="56"/>
      <c r="AF194" s="56"/>
      <c r="AG194" s="56"/>
      <c r="AH194" s="56"/>
      <c r="AI194" s="57"/>
      <c r="AJ194" s="1"/>
      <c r="AK194" s="49"/>
      <c r="AL194" s="49"/>
      <c r="AM194" s="49"/>
      <c r="AN194" s="49"/>
      <c r="AO194" s="49"/>
    </row>
    <row r="195" spans="1:41" s="50" customFormat="1" ht="6.65" customHeight="1" outlineLevel="1">
      <c r="A195" s="302"/>
      <c r="B195" s="231"/>
      <c r="C195" s="232"/>
      <c r="D195" s="55"/>
      <c r="E195" s="56"/>
      <c r="F195" s="56"/>
      <c r="G195" s="56"/>
      <c r="H195" s="56"/>
      <c r="I195" s="56"/>
      <c r="J195" s="56"/>
      <c r="K195" s="56"/>
      <c r="L195" s="56"/>
      <c r="M195" s="57"/>
      <c r="N195" s="1"/>
      <c r="O195" s="55"/>
      <c r="P195" s="56"/>
      <c r="Q195" s="56"/>
      <c r="R195" s="56"/>
      <c r="S195" s="56"/>
      <c r="T195" s="56"/>
      <c r="U195" s="56"/>
      <c r="V195" s="56"/>
      <c r="W195" s="56"/>
      <c r="X195" s="57"/>
      <c r="Y195" s="1"/>
      <c r="Z195" s="55"/>
      <c r="AA195" s="56"/>
      <c r="AB195" s="56"/>
      <c r="AC195" s="56"/>
      <c r="AD195" s="56"/>
      <c r="AE195" s="56"/>
      <c r="AF195" s="56"/>
      <c r="AG195" s="56"/>
      <c r="AH195" s="56"/>
      <c r="AI195" s="57"/>
      <c r="AJ195" s="1"/>
      <c r="AK195" s="49"/>
      <c r="AL195" s="49"/>
      <c r="AM195" s="49"/>
      <c r="AN195" s="49"/>
      <c r="AO195" s="49"/>
    </row>
    <row r="196" spans="1:41" s="50" customFormat="1" ht="18.649999999999999" customHeight="1" thickBot="1">
      <c r="A196" s="302"/>
      <c r="B196" s="231" t="s">
        <v>81</v>
      </c>
      <c r="C196" s="232"/>
      <c r="D196" s="55"/>
      <c r="E196" s="56"/>
      <c r="F196" s="56"/>
      <c r="G196" s="56"/>
      <c r="H196" s="56"/>
      <c r="I196" s="56"/>
      <c r="J196" s="56"/>
      <c r="K196" s="56"/>
      <c r="L196" s="56"/>
      <c r="M196" s="60"/>
      <c r="N196" s="1"/>
      <c r="O196" s="55"/>
      <c r="P196" s="56"/>
      <c r="Q196" s="56"/>
      <c r="R196" s="56"/>
      <c r="S196" s="56"/>
      <c r="T196" s="56"/>
      <c r="U196" s="56"/>
      <c r="V196" s="56"/>
      <c r="W196" s="56"/>
      <c r="X196" s="57"/>
      <c r="Y196" s="1"/>
      <c r="Z196" s="58"/>
      <c r="AA196" s="59"/>
      <c r="AB196" s="59"/>
      <c r="AC196" s="59"/>
      <c r="AD196" s="59"/>
      <c r="AE196" s="59"/>
      <c r="AF196" s="59"/>
      <c r="AG196" s="59"/>
      <c r="AH196" s="59"/>
      <c r="AI196" s="60"/>
      <c r="AJ196" s="1"/>
      <c r="AK196" s="49"/>
      <c r="AL196" s="49"/>
      <c r="AM196" s="49"/>
      <c r="AN196" s="49"/>
      <c r="AO196" s="49"/>
    </row>
    <row r="197" spans="1:41" s="50" customFormat="1" ht="18.649999999999999" customHeight="1">
      <c r="A197" s="302"/>
      <c r="B197" s="244"/>
      <c r="C197" s="245"/>
      <c r="D197" s="61"/>
      <c r="E197" s="62"/>
      <c r="F197" s="62"/>
      <c r="G197" s="62"/>
      <c r="H197" s="62"/>
      <c r="I197" s="62"/>
      <c r="J197" s="62"/>
      <c r="K197" s="62"/>
      <c r="L197" s="62"/>
      <c r="M197" s="63"/>
      <c r="N197" s="1"/>
      <c r="O197" s="61"/>
      <c r="P197" s="62"/>
      <c r="Q197" s="62"/>
      <c r="R197" s="62"/>
      <c r="S197" s="62"/>
      <c r="T197" s="62"/>
      <c r="U197" s="62"/>
      <c r="V197" s="62"/>
      <c r="W197" s="62"/>
      <c r="X197" s="63"/>
      <c r="Y197" s="1"/>
      <c r="Z197" s="61"/>
      <c r="AA197" s="62"/>
      <c r="AB197" s="62"/>
      <c r="AC197" s="62"/>
      <c r="AD197" s="62"/>
      <c r="AE197" s="62"/>
      <c r="AF197" s="62"/>
      <c r="AG197" s="62"/>
      <c r="AH197" s="62"/>
      <c r="AI197" s="63"/>
      <c r="AJ197" s="1"/>
      <c r="AK197" s="49"/>
      <c r="AL197" s="49"/>
      <c r="AM197" s="49"/>
      <c r="AN197" s="49"/>
      <c r="AO197" s="49"/>
    </row>
    <row r="198" spans="1:41" s="181" customFormat="1" ht="20.149999999999999" customHeight="1">
      <c r="A198" s="303">
        <v>11</v>
      </c>
      <c r="B198" s="378" t="s">
        <v>251</v>
      </c>
      <c r="C198" s="379"/>
      <c r="D198" s="314" t="str">
        <f>IF($B$4="Climate Solutions","","Under development")</f>
        <v>Under development</v>
      </c>
      <c r="E198" s="315" t="str">
        <f t="shared" ref="E198:M198" si="50">IF($B$4="Climate Solutions","","Under development")</f>
        <v>Under development</v>
      </c>
      <c r="F198" s="315" t="str">
        <f t="shared" si="50"/>
        <v>Under development</v>
      </c>
      <c r="G198" s="315" t="str">
        <f t="shared" si="50"/>
        <v>Under development</v>
      </c>
      <c r="H198" s="315" t="str">
        <f t="shared" si="50"/>
        <v>Under development</v>
      </c>
      <c r="I198" s="315" t="str">
        <f t="shared" si="50"/>
        <v>Under development</v>
      </c>
      <c r="J198" s="315" t="str">
        <f t="shared" si="50"/>
        <v>Under development</v>
      </c>
      <c r="K198" s="315" t="str">
        <f t="shared" si="50"/>
        <v>Under development</v>
      </c>
      <c r="L198" s="315" t="str">
        <f t="shared" si="50"/>
        <v>Under development</v>
      </c>
      <c r="M198" s="316" t="str">
        <f t="shared" si="50"/>
        <v>Under development</v>
      </c>
      <c r="N198" s="179"/>
      <c r="O198" s="182" t="s">
        <v>93</v>
      </c>
      <c r="P198" s="183" t="s">
        <v>93</v>
      </c>
      <c r="Q198" s="183" t="s">
        <v>93</v>
      </c>
      <c r="R198" s="183" t="s">
        <v>93</v>
      </c>
      <c r="S198" s="183" t="s">
        <v>93</v>
      </c>
      <c r="T198" s="183" t="s">
        <v>93</v>
      </c>
      <c r="U198" s="183" t="s">
        <v>93</v>
      </c>
      <c r="V198" s="183" t="s">
        <v>93</v>
      </c>
      <c r="W198" s="183" t="s">
        <v>93</v>
      </c>
      <c r="X198" s="184" t="s">
        <v>93</v>
      </c>
      <c r="Y198" s="179"/>
      <c r="Z198" s="185"/>
      <c r="AA198" s="186"/>
      <c r="AB198" s="186"/>
      <c r="AC198" s="186"/>
      <c r="AD198" s="186"/>
      <c r="AE198" s="186"/>
      <c r="AF198" s="186"/>
      <c r="AG198" s="186"/>
      <c r="AH198" s="186"/>
      <c r="AI198" s="187"/>
      <c r="AJ198" s="179"/>
      <c r="AK198" s="180"/>
      <c r="AL198" s="180"/>
      <c r="AM198" s="180"/>
      <c r="AN198" s="180"/>
      <c r="AO198" s="180"/>
    </row>
    <row r="199" spans="1:41" s="181" customFormat="1" ht="20.149999999999999" customHeight="1" outlineLevel="1">
      <c r="A199" s="303">
        <v>11.1</v>
      </c>
      <c r="B199" s="246" t="s">
        <v>252</v>
      </c>
      <c r="C199" s="273"/>
      <c r="D199" s="317" t="str">
        <f>IF($B$4="Climate Solutions","","Under development")</f>
        <v>Under development</v>
      </c>
      <c r="E199" s="318" t="str">
        <f t="shared" ref="E199:M199" si="51">IF($B$4="Climate Solutions","","Under development")</f>
        <v>Under development</v>
      </c>
      <c r="F199" s="318" t="str">
        <f t="shared" si="51"/>
        <v>Under development</v>
      </c>
      <c r="G199" s="318" t="str">
        <f t="shared" si="51"/>
        <v>Under development</v>
      </c>
      <c r="H199" s="318" t="str">
        <f t="shared" si="51"/>
        <v>Under development</v>
      </c>
      <c r="I199" s="318" t="str">
        <f t="shared" si="51"/>
        <v>Under development</v>
      </c>
      <c r="J199" s="318" t="str">
        <f t="shared" si="51"/>
        <v>Under development</v>
      </c>
      <c r="K199" s="318" t="str">
        <f t="shared" si="51"/>
        <v>Under development</v>
      </c>
      <c r="L199" s="318" t="str">
        <f t="shared" si="51"/>
        <v>Under development</v>
      </c>
      <c r="M199" s="319" t="str">
        <f t="shared" si="51"/>
        <v>Under development</v>
      </c>
      <c r="N199" s="179"/>
      <c r="O199" s="185"/>
      <c r="P199" s="186"/>
      <c r="Q199" s="186"/>
      <c r="R199" s="186"/>
      <c r="S199" s="186"/>
      <c r="T199" s="186"/>
      <c r="U199" s="186"/>
      <c r="V199" s="186"/>
      <c r="W199" s="186"/>
      <c r="X199" s="187"/>
      <c r="Y199" s="179"/>
      <c r="Z199" s="185"/>
      <c r="AA199" s="186"/>
      <c r="AB199" s="186"/>
      <c r="AC199" s="186"/>
      <c r="AD199" s="186"/>
      <c r="AE199" s="186"/>
      <c r="AF199" s="186"/>
      <c r="AG199" s="186"/>
      <c r="AH199" s="186"/>
      <c r="AI199" s="187"/>
      <c r="AJ199" s="179"/>
      <c r="AK199" s="180"/>
      <c r="AL199" s="180"/>
      <c r="AM199" s="180"/>
      <c r="AN199" s="180"/>
      <c r="AO199" s="180"/>
    </row>
    <row r="200" spans="1:41" s="181" customFormat="1" ht="20.149999999999999" customHeight="1" outlineLevel="2">
      <c r="A200" s="303"/>
      <c r="B200" s="272" t="s">
        <v>253</v>
      </c>
      <c r="C200" s="273"/>
      <c r="D200" s="317" t="str">
        <f t="shared" ref="D200:M201" si="52">IF($B$4="Disclosure","Under development","")</f>
        <v>Under development</v>
      </c>
      <c r="E200" s="318" t="str">
        <f t="shared" si="52"/>
        <v>Under development</v>
      </c>
      <c r="F200" s="318" t="str">
        <f t="shared" si="52"/>
        <v>Under development</v>
      </c>
      <c r="G200" s="318" t="str">
        <f t="shared" si="52"/>
        <v>Under development</v>
      </c>
      <c r="H200" s="318" t="str">
        <f t="shared" si="52"/>
        <v>Under development</v>
      </c>
      <c r="I200" s="318" t="str">
        <f t="shared" si="52"/>
        <v>Under development</v>
      </c>
      <c r="J200" s="318" t="str">
        <f t="shared" si="52"/>
        <v>Under development</v>
      </c>
      <c r="K200" s="318" t="str">
        <f t="shared" si="52"/>
        <v>Under development</v>
      </c>
      <c r="L200" s="318" t="str">
        <f t="shared" si="52"/>
        <v>Under development</v>
      </c>
      <c r="M200" s="319" t="str">
        <f t="shared" si="52"/>
        <v>Under development</v>
      </c>
      <c r="N200" s="179"/>
      <c r="O200" s="185"/>
      <c r="P200" s="186"/>
      <c r="Q200" s="186"/>
      <c r="R200" s="186"/>
      <c r="S200" s="186"/>
      <c r="T200" s="186"/>
      <c r="U200" s="186"/>
      <c r="V200" s="186"/>
      <c r="W200" s="186"/>
      <c r="X200" s="187"/>
      <c r="Y200" s="179"/>
      <c r="Z200" s="185"/>
      <c r="AA200" s="186"/>
      <c r="AB200" s="186"/>
      <c r="AC200" s="186"/>
      <c r="AD200" s="186"/>
      <c r="AE200" s="186"/>
      <c r="AF200" s="186"/>
      <c r="AG200" s="186"/>
      <c r="AH200" s="186"/>
      <c r="AI200" s="187"/>
      <c r="AJ200" s="179"/>
      <c r="AK200" s="180"/>
      <c r="AL200" s="180"/>
      <c r="AM200" s="180"/>
      <c r="AN200" s="180"/>
      <c r="AO200" s="180"/>
    </row>
    <row r="201" spans="1:41" s="181" customFormat="1" ht="20.149999999999999" customHeight="1" outlineLevel="2">
      <c r="A201" s="303"/>
      <c r="B201" s="272" t="s">
        <v>254</v>
      </c>
      <c r="C201" s="273"/>
      <c r="D201" s="317" t="str">
        <f t="shared" si="52"/>
        <v>Under development</v>
      </c>
      <c r="E201" s="318" t="str">
        <f t="shared" si="52"/>
        <v>Under development</v>
      </c>
      <c r="F201" s="318" t="str">
        <f t="shared" si="52"/>
        <v>Under development</v>
      </c>
      <c r="G201" s="318" t="str">
        <f t="shared" si="52"/>
        <v>Under development</v>
      </c>
      <c r="H201" s="318" t="str">
        <f t="shared" si="52"/>
        <v>Under development</v>
      </c>
      <c r="I201" s="318" t="str">
        <f t="shared" si="52"/>
        <v>Under development</v>
      </c>
      <c r="J201" s="318" t="str">
        <f t="shared" si="52"/>
        <v>Under development</v>
      </c>
      <c r="K201" s="318" t="str">
        <f t="shared" si="52"/>
        <v>Under development</v>
      </c>
      <c r="L201" s="318" t="str">
        <f t="shared" si="52"/>
        <v>Under development</v>
      </c>
      <c r="M201" s="319" t="str">
        <f t="shared" si="52"/>
        <v>Under development</v>
      </c>
      <c r="N201" s="179"/>
      <c r="O201" s="185"/>
      <c r="P201" s="186"/>
      <c r="Q201" s="186"/>
      <c r="R201" s="186"/>
      <c r="S201" s="186"/>
      <c r="T201" s="186"/>
      <c r="U201" s="186"/>
      <c r="V201" s="186"/>
      <c r="W201" s="186"/>
      <c r="X201" s="187"/>
      <c r="Y201" s="179"/>
      <c r="Z201" s="185"/>
      <c r="AA201" s="186"/>
      <c r="AB201" s="186"/>
      <c r="AC201" s="186"/>
      <c r="AD201" s="186"/>
      <c r="AE201" s="186"/>
      <c r="AF201" s="186"/>
      <c r="AG201" s="186"/>
      <c r="AH201" s="186"/>
      <c r="AI201" s="187"/>
      <c r="AJ201" s="179"/>
      <c r="AK201" s="180"/>
      <c r="AL201" s="180"/>
      <c r="AM201" s="180"/>
      <c r="AN201" s="180"/>
      <c r="AO201" s="180"/>
    </row>
    <row r="202" spans="1:41" s="181" customFormat="1" ht="20.149999999999999" customHeight="1" outlineLevel="2">
      <c r="A202" s="303"/>
      <c r="B202" s="272" t="s">
        <v>255</v>
      </c>
      <c r="C202" s="273"/>
      <c r="D202" s="317" t="str">
        <f t="shared" ref="D202:M202" si="53">IF($B$4="Alignment","Under development", "")</f>
        <v/>
      </c>
      <c r="E202" s="318" t="str">
        <f t="shared" si="53"/>
        <v/>
      </c>
      <c r="F202" s="318" t="str">
        <f t="shared" si="53"/>
        <v/>
      </c>
      <c r="G202" s="318" t="str">
        <f t="shared" si="53"/>
        <v/>
      </c>
      <c r="H202" s="318" t="str">
        <f t="shared" si="53"/>
        <v/>
      </c>
      <c r="I202" s="318" t="str">
        <f t="shared" si="53"/>
        <v/>
      </c>
      <c r="J202" s="318" t="str">
        <f t="shared" si="53"/>
        <v/>
      </c>
      <c r="K202" s="318" t="str">
        <f t="shared" si="53"/>
        <v/>
      </c>
      <c r="L202" s="318" t="str">
        <f t="shared" si="53"/>
        <v/>
      </c>
      <c r="M202" s="319" t="str">
        <f t="shared" si="53"/>
        <v/>
      </c>
      <c r="N202" s="179"/>
      <c r="O202" s="185"/>
      <c r="P202" s="186"/>
      <c r="Q202" s="186"/>
      <c r="R202" s="186"/>
      <c r="S202" s="186"/>
      <c r="T202" s="186"/>
      <c r="U202" s="186"/>
      <c r="V202" s="186"/>
      <c r="W202" s="186"/>
      <c r="X202" s="187"/>
      <c r="Y202" s="179"/>
      <c r="Z202" s="185"/>
      <c r="AA202" s="186"/>
      <c r="AB202" s="186"/>
      <c r="AC202" s="186"/>
      <c r="AD202" s="186"/>
      <c r="AE202" s="186"/>
      <c r="AF202" s="186"/>
      <c r="AG202" s="186"/>
      <c r="AH202" s="186"/>
      <c r="AI202" s="187"/>
      <c r="AJ202" s="179"/>
      <c r="AK202" s="180"/>
      <c r="AL202" s="180"/>
      <c r="AM202" s="180"/>
      <c r="AN202" s="180"/>
      <c r="AO202" s="180"/>
    </row>
    <row r="203" spans="1:41" s="181" customFormat="1" ht="20.149999999999999" customHeight="1" outlineLevel="1">
      <c r="A203" s="303">
        <v>11.2</v>
      </c>
      <c r="B203" s="246" t="s">
        <v>256</v>
      </c>
      <c r="C203" s="273"/>
      <c r="D203" s="317" t="str">
        <f t="shared" ref="D203:M206" si="54">IF($B$4="Disclosure","Under development","")</f>
        <v>Under development</v>
      </c>
      <c r="E203" s="318" t="str">
        <f t="shared" si="54"/>
        <v>Under development</v>
      </c>
      <c r="F203" s="318" t="str">
        <f t="shared" si="54"/>
        <v>Under development</v>
      </c>
      <c r="G203" s="318" t="str">
        <f t="shared" si="54"/>
        <v>Under development</v>
      </c>
      <c r="H203" s="318" t="str">
        <f t="shared" si="54"/>
        <v>Under development</v>
      </c>
      <c r="I203" s="318" t="str">
        <f t="shared" si="54"/>
        <v>Under development</v>
      </c>
      <c r="J203" s="318" t="str">
        <f t="shared" si="54"/>
        <v>Under development</v>
      </c>
      <c r="K203" s="318" t="str">
        <f t="shared" si="54"/>
        <v>Under development</v>
      </c>
      <c r="L203" s="318" t="str">
        <f t="shared" si="54"/>
        <v>Under development</v>
      </c>
      <c r="M203" s="319" t="str">
        <f t="shared" si="54"/>
        <v>Under development</v>
      </c>
      <c r="N203" s="179"/>
      <c r="O203" s="185" t="s">
        <v>93</v>
      </c>
      <c r="P203" s="186" t="s">
        <v>93</v>
      </c>
      <c r="Q203" s="186" t="s">
        <v>93</v>
      </c>
      <c r="R203" s="186" t="s">
        <v>93</v>
      </c>
      <c r="S203" s="186" t="s">
        <v>93</v>
      </c>
      <c r="T203" s="186" t="s">
        <v>93</v>
      </c>
      <c r="U203" s="186" t="s">
        <v>93</v>
      </c>
      <c r="V203" s="186" t="s">
        <v>93</v>
      </c>
      <c r="W203" s="186" t="s">
        <v>93</v>
      </c>
      <c r="X203" s="187" t="s">
        <v>93</v>
      </c>
      <c r="Y203" s="179"/>
      <c r="Z203" s="185"/>
      <c r="AA203" s="186"/>
      <c r="AB203" s="186"/>
      <c r="AC203" s="186"/>
      <c r="AD203" s="186"/>
      <c r="AE203" s="186"/>
      <c r="AF203" s="186"/>
      <c r="AG203" s="186"/>
      <c r="AH203" s="186"/>
      <c r="AI203" s="187"/>
      <c r="AJ203" s="179"/>
      <c r="AK203" s="180"/>
      <c r="AL203" s="180"/>
      <c r="AM203" s="180"/>
      <c r="AN203" s="180"/>
      <c r="AO203" s="180"/>
    </row>
    <row r="204" spans="1:41" s="181" customFormat="1" ht="20.149999999999999" customHeight="1" outlineLevel="2">
      <c r="A204" s="303"/>
      <c r="B204" s="272" t="s">
        <v>257</v>
      </c>
      <c r="C204" s="273"/>
      <c r="D204" s="317" t="str">
        <f t="shared" si="54"/>
        <v>Under development</v>
      </c>
      <c r="E204" s="318" t="str">
        <f t="shared" si="54"/>
        <v>Under development</v>
      </c>
      <c r="F204" s="318" t="str">
        <f t="shared" si="54"/>
        <v>Under development</v>
      </c>
      <c r="G204" s="318" t="str">
        <f t="shared" si="54"/>
        <v>Under development</v>
      </c>
      <c r="H204" s="318" t="str">
        <f t="shared" si="54"/>
        <v>Under development</v>
      </c>
      <c r="I204" s="318" t="str">
        <f t="shared" si="54"/>
        <v>Under development</v>
      </c>
      <c r="J204" s="318" t="str">
        <f t="shared" si="54"/>
        <v>Under development</v>
      </c>
      <c r="K204" s="318" t="str">
        <f t="shared" si="54"/>
        <v>Under development</v>
      </c>
      <c r="L204" s="318" t="str">
        <f t="shared" si="54"/>
        <v>Under development</v>
      </c>
      <c r="M204" s="319" t="str">
        <f t="shared" si="54"/>
        <v>Under development</v>
      </c>
      <c r="N204" s="179"/>
      <c r="O204" s="185"/>
      <c r="P204" s="186"/>
      <c r="Q204" s="186"/>
      <c r="R204" s="186"/>
      <c r="S204" s="186"/>
      <c r="T204" s="186"/>
      <c r="U204" s="186"/>
      <c r="V204" s="186"/>
      <c r="W204" s="186"/>
      <c r="X204" s="187"/>
      <c r="Y204" s="179"/>
      <c r="Z204" s="185"/>
      <c r="AA204" s="186"/>
      <c r="AB204" s="186"/>
      <c r="AC204" s="186"/>
      <c r="AD204" s="186"/>
      <c r="AE204" s="186"/>
      <c r="AF204" s="186"/>
      <c r="AG204" s="186"/>
      <c r="AH204" s="186"/>
      <c r="AI204" s="187"/>
      <c r="AJ204" s="179"/>
      <c r="AK204" s="180"/>
      <c r="AL204" s="180"/>
      <c r="AM204" s="180"/>
      <c r="AN204" s="180"/>
      <c r="AO204" s="180"/>
    </row>
    <row r="205" spans="1:41" s="181" customFormat="1" ht="20.149999999999999" customHeight="1" outlineLevel="2">
      <c r="A205" s="303"/>
      <c r="B205" s="272" t="s">
        <v>258</v>
      </c>
      <c r="C205" s="273"/>
      <c r="D205" s="317" t="str">
        <f t="shared" si="54"/>
        <v>Under development</v>
      </c>
      <c r="E205" s="318" t="str">
        <f t="shared" si="54"/>
        <v>Under development</v>
      </c>
      <c r="F205" s="318" t="str">
        <f t="shared" si="54"/>
        <v>Under development</v>
      </c>
      <c r="G205" s="318" t="str">
        <f t="shared" si="54"/>
        <v>Under development</v>
      </c>
      <c r="H205" s="318" t="str">
        <f t="shared" si="54"/>
        <v>Under development</v>
      </c>
      <c r="I205" s="318" t="str">
        <f t="shared" si="54"/>
        <v>Under development</v>
      </c>
      <c r="J205" s="318" t="str">
        <f t="shared" si="54"/>
        <v>Under development</v>
      </c>
      <c r="K205" s="318" t="str">
        <f t="shared" si="54"/>
        <v>Under development</v>
      </c>
      <c r="L205" s="318" t="str">
        <f t="shared" si="54"/>
        <v>Under development</v>
      </c>
      <c r="M205" s="319" t="str">
        <f t="shared" si="54"/>
        <v>Under development</v>
      </c>
      <c r="N205" s="179"/>
      <c r="O205" s="185"/>
      <c r="P205" s="186"/>
      <c r="Q205" s="186"/>
      <c r="R205" s="186"/>
      <c r="S205" s="186"/>
      <c r="T205" s="186"/>
      <c r="U205" s="186"/>
      <c r="V205" s="186"/>
      <c r="W205" s="186"/>
      <c r="X205" s="187"/>
      <c r="Y205" s="179"/>
      <c r="Z205" s="185"/>
      <c r="AA205" s="186"/>
      <c r="AB205" s="186"/>
      <c r="AC205" s="186"/>
      <c r="AD205" s="186"/>
      <c r="AE205" s="186"/>
      <c r="AF205" s="186"/>
      <c r="AG205" s="186"/>
      <c r="AH205" s="186"/>
      <c r="AI205" s="187"/>
      <c r="AJ205" s="179"/>
      <c r="AK205" s="180"/>
      <c r="AL205" s="180"/>
      <c r="AM205" s="180"/>
      <c r="AN205" s="180"/>
      <c r="AO205" s="180"/>
    </row>
    <row r="206" spans="1:41" s="181" customFormat="1" ht="20.149999999999999" customHeight="1" outlineLevel="2">
      <c r="A206" s="303"/>
      <c r="B206" s="272" t="s">
        <v>259</v>
      </c>
      <c r="C206" s="273"/>
      <c r="D206" s="317" t="str">
        <f t="shared" si="54"/>
        <v>Under development</v>
      </c>
      <c r="E206" s="318" t="str">
        <f t="shared" si="54"/>
        <v>Under development</v>
      </c>
      <c r="F206" s="318" t="str">
        <f t="shared" si="54"/>
        <v>Under development</v>
      </c>
      <c r="G206" s="318" t="str">
        <f t="shared" si="54"/>
        <v>Under development</v>
      </c>
      <c r="H206" s="318" t="str">
        <f t="shared" si="54"/>
        <v>Under development</v>
      </c>
      <c r="I206" s="318" t="str">
        <f t="shared" si="54"/>
        <v>Under development</v>
      </c>
      <c r="J206" s="318" t="str">
        <f t="shared" si="54"/>
        <v>Under development</v>
      </c>
      <c r="K206" s="318" t="str">
        <f t="shared" si="54"/>
        <v>Under development</v>
      </c>
      <c r="L206" s="318" t="str">
        <f t="shared" si="54"/>
        <v>Under development</v>
      </c>
      <c r="M206" s="319" t="str">
        <f t="shared" si="54"/>
        <v>Under development</v>
      </c>
      <c r="N206" s="179"/>
      <c r="O206" s="185"/>
      <c r="P206" s="186"/>
      <c r="Q206" s="186"/>
      <c r="R206" s="186"/>
      <c r="S206" s="186"/>
      <c r="T206" s="186"/>
      <c r="U206" s="186"/>
      <c r="V206" s="186"/>
      <c r="W206" s="186"/>
      <c r="X206" s="187"/>
      <c r="Y206" s="179"/>
      <c r="Z206" s="185"/>
      <c r="AA206" s="186"/>
      <c r="AB206" s="186"/>
      <c r="AC206" s="186"/>
      <c r="AD206" s="186"/>
      <c r="AE206" s="186"/>
      <c r="AF206" s="186"/>
      <c r="AG206" s="186"/>
      <c r="AH206" s="186"/>
      <c r="AI206" s="187"/>
      <c r="AJ206" s="179"/>
      <c r="AK206" s="180"/>
      <c r="AL206" s="180"/>
      <c r="AM206" s="180"/>
      <c r="AN206" s="180"/>
      <c r="AO206" s="180"/>
    </row>
    <row r="207" spans="1:41" s="50" customFormat="1" ht="6.65" customHeight="1" outlineLevel="1">
      <c r="A207" s="302"/>
      <c r="B207" s="231"/>
      <c r="C207" s="232"/>
      <c r="D207" s="55"/>
      <c r="E207" s="56"/>
      <c r="F207" s="56"/>
      <c r="G207" s="56"/>
      <c r="H207" s="56"/>
      <c r="I207" s="56"/>
      <c r="J207" s="56"/>
      <c r="K207" s="56"/>
      <c r="L207" s="56"/>
      <c r="M207" s="57"/>
      <c r="N207" s="1"/>
      <c r="O207" s="55"/>
      <c r="P207" s="56"/>
      <c r="Q207" s="56"/>
      <c r="R207" s="56"/>
      <c r="S207" s="56"/>
      <c r="T207" s="56"/>
      <c r="U207" s="56"/>
      <c r="V207" s="56"/>
      <c r="W207" s="56"/>
      <c r="X207" s="57"/>
      <c r="Y207" s="1"/>
      <c r="Z207" s="55"/>
      <c r="AA207" s="56"/>
      <c r="AB207" s="56"/>
      <c r="AC207" s="56"/>
      <c r="AD207" s="56"/>
      <c r="AE207" s="56"/>
      <c r="AF207" s="56"/>
      <c r="AG207" s="56"/>
      <c r="AH207" s="56"/>
      <c r="AI207" s="57"/>
      <c r="AJ207" s="1"/>
      <c r="AK207" s="49"/>
      <c r="AL207" s="49"/>
      <c r="AM207" s="49"/>
      <c r="AN207" s="49"/>
      <c r="AO207" s="49"/>
    </row>
    <row r="208" spans="1:41" s="50" customFormat="1" ht="18.649999999999999" customHeight="1" thickBot="1">
      <c r="A208" s="302"/>
      <c r="B208" s="229"/>
      <c r="C208" s="230"/>
      <c r="D208" s="58"/>
      <c r="E208" s="59"/>
      <c r="F208" s="59"/>
      <c r="G208" s="59"/>
      <c r="H208" s="59"/>
      <c r="I208" s="59"/>
      <c r="J208" s="59"/>
      <c r="K208" s="59"/>
      <c r="L208" s="59"/>
      <c r="M208" s="60"/>
      <c r="N208" s="1"/>
      <c r="O208" s="58"/>
      <c r="P208" s="59"/>
      <c r="Q208" s="59"/>
      <c r="R208" s="59"/>
      <c r="S208" s="59"/>
      <c r="T208" s="59"/>
      <c r="U208" s="59"/>
      <c r="V208" s="59"/>
      <c r="W208" s="59"/>
      <c r="X208" s="60"/>
      <c r="Y208" s="1"/>
      <c r="Z208" s="58"/>
      <c r="AA208" s="59"/>
      <c r="AB208" s="59"/>
      <c r="AC208" s="59"/>
      <c r="AD208" s="59"/>
      <c r="AE208" s="59"/>
      <c r="AF208" s="59"/>
      <c r="AG208" s="59"/>
      <c r="AH208" s="59"/>
      <c r="AI208" s="60"/>
      <c r="AJ208" s="1"/>
      <c r="AK208" s="49"/>
      <c r="AL208" s="49"/>
      <c r="AM208" s="49"/>
      <c r="AN208" s="49"/>
      <c r="AO208" s="49"/>
    </row>
    <row r="209" spans="1:41" s="50" customFormat="1">
      <c r="A209" s="219"/>
      <c r="B209" s="65"/>
      <c r="C209" s="65"/>
      <c r="D209" s="49"/>
      <c r="E209" s="49"/>
      <c r="F209" s="49"/>
      <c r="G209" s="49"/>
      <c r="H209" s="49"/>
      <c r="I209" s="49"/>
      <c r="J209" s="49"/>
      <c r="K209" s="49"/>
      <c r="L209" s="49"/>
      <c r="M209" s="49"/>
      <c r="N209" s="1"/>
      <c r="O209" s="49"/>
      <c r="P209" s="49"/>
      <c r="Q209" s="49"/>
      <c r="R209" s="49"/>
      <c r="S209" s="49"/>
      <c r="T209" s="49"/>
      <c r="U209" s="49"/>
      <c r="V209" s="49"/>
      <c r="W209" s="49"/>
      <c r="X209" s="49"/>
      <c r="Y209" s="1"/>
      <c r="Z209" s="49"/>
      <c r="AA209" s="49"/>
      <c r="AB209" s="49"/>
      <c r="AC209" s="49"/>
      <c r="AD209" s="49"/>
      <c r="AE209" s="49"/>
      <c r="AF209" s="49"/>
      <c r="AG209" s="49"/>
      <c r="AH209" s="49"/>
      <c r="AI209" s="49"/>
      <c r="AJ209" s="1"/>
      <c r="AK209" s="49"/>
      <c r="AL209" s="49"/>
      <c r="AM209" s="49"/>
      <c r="AN209" s="49"/>
      <c r="AO209" s="49"/>
    </row>
    <row r="210" spans="1:41" s="50" customFormat="1">
      <c r="A210" s="219"/>
      <c r="B210" s="65"/>
      <c r="C210" s="65"/>
      <c r="D210" s="49"/>
      <c r="E210" s="49"/>
      <c r="F210" s="49"/>
      <c r="G210" s="49"/>
      <c r="H210" s="49"/>
      <c r="I210" s="49"/>
      <c r="J210" s="49"/>
      <c r="K210" s="49"/>
      <c r="L210" s="49"/>
      <c r="M210" s="49"/>
      <c r="N210" s="1"/>
      <c r="O210" s="49"/>
      <c r="P210" s="49"/>
      <c r="Q210" s="49"/>
      <c r="R210" s="49"/>
      <c r="S210" s="49"/>
      <c r="T210" s="49"/>
      <c r="U210" s="49"/>
      <c r="V210" s="49"/>
      <c r="W210" s="49"/>
      <c r="X210" s="49"/>
      <c r="Y210" s="1"/>
      <c r="Z210" s="49"/>
      <c r="AA210" s="49"/>
      <c r="AB210" s="49"/>
      <c r="AC210" s="49"/>
      <c r="AD210" s="49"/>
      <c r="AE210" s="49"/>
      <c r="AF210" s="49"/>
      <c r="AG210" s="49"/>
      <c r="AH210" s="49"/>
      <c r="AI210" s="49"/>
      <c r="AJ210" s="1"/>
      <c r="AK210" s="49"/>
      <c r="AL210" s="49"/>
      <c r="AM210" s="49"/>
      <c r="AN210" s="49"/>
      <c r="AO210" s="49"/>
    </row>
    <row r="211" spans="1:41" s="50" customFormat="1">
      <c r="A211" s="219"/>
      <c r="B211" s="65"/>
      <c r="C211" s="65"/>
      <c r="D211" s="49"/>
      <c r="E211" s="49"/>
      <c r="F211" s="49"/>
      <c r="G211" s="49"/>
      <c r="H211" s="49"/>
      <c r="I211" s="49"/>
      <c r="J211" s="49"/>
      <c r="K211" s="49"/>
      <c r="L211" s="49"/>
      <c r="M211" s="49"/>
      <c r="N211" s="1"/>
      <c r="O211" s="49"/>
      <c r="P211" s="49"/>
      <c r="Q211" s="49"/>
      <c r="R211" s="49"/>
      <c r="S211" s="49"/>
      <c r="T211" s="49"/>
      <c r="U211" s="49"/>
      <c r="V211" s="49"/>
      <c r="W211" s="49"/>
      <c r="X211" s="49"/>
      <c r="Y211" s="1"/>
      <c r="Z211" s="49"/>
      <c r="AA211" s="49"/>
      <c r="AB211" s="49"/>
      <c r="AC211" s="49"/>
      <c r="AD211" s="49"/>
      <c r="AE211" s="49"/>
      <c r="AF211" s="49"/>
      <c r="AG211" s="49"/>
      <c r="AH211" s="49"/>
      <c r="AI211" s="49"/>
      <c r="AJ211" s="1"/>
      <c r="AK211" s="49"/>
      <c r="AL211" s="49"/>
      <c r="AM211" s="49"/>
      <c r="AN211" s="49"/>
      <c r="AO211" s="49"/>
    </row>
    <row r="212" spans="1:41" s="50" customFormat="1" hidden="1">
      <c r="A212" s="219"/>
      <c r="B212" s="65"/>
      <c r="C212" s="247"/>
      <c r="N212" s="1"/>
      <c r="Y212" s="1"/>
      <c r="AJ212" s="1"/>
      <c r="AK212" s="49"/>
      <c r="AL212" s="49"/>
      <c r="AM212" s="49"/>
      <c r="AN212" s="49"/>
      <c r="AO212" s="49"/>
    </row>
    <row r="213" spans="1:41" ht="14.5" customHeight="1"/>
    <row r="214" spans="1:41" ht="14.5" customHeight="1"/>
    <row r="215" spans="1:41" ht="14.5" customHeight="1"/>
    <row r="216" spans="1:41" ht="14.5" customHeight="1"/>
    <row r="217" spans="1:41" ht="14.5" customHeight="1"/>
    <row r="218" spans="1:41" ht="14.5" customHeight="1"/>
    <row r="219" spans="1:41" ht="14.5" customHeight="1"/>
    <row r="220" spans="1:41" ht="14.5" customHeight="1"/>
    <row r="221" spans="1:41" ht="14.5" customHeight="1"/>
    <row r="222" spans="1:41" ht="14.5" customHeight="1"/>
    <row r="223" spans="1:41" ht="14.5" customHeight="1"/>
    <row r="224" spans="1:41" ht="14.5" customHeight="1"/>
    <row r="225" ht="14.5" customHeight="1"/>
    <row r="226" ht="14.5" customHeight="1"/>
    <row r="227" ht="14.5" customHeight="1"/>
  </sheetData>
  <sheetProtection sheet="1" objects="1" scenarios="1"/>
  <mergeCells count="25">
    <mergeCell ref="B179:C179"/>
    <mergeCell ref="B198:C198"/>
    <mergeCell ref="E1:M1"/>
    <mergeCell ref="B50:C50"/>
    <mergeCell ref="AN92:AP93"/>
    <mergeCell ref="B112:C112"/>
    <mergeCell ref="B143:C143"/>
    <mergeCell ref="B154:C154"/>
    <mergeCell ref="B167:C167"/>
    <mergeCell ref="M3:M4"/>
    <mergeCell ref="O3:X3"/>
    <mergeCell ref="Z3:AI3"/>
    <mergeCell ref="B10:C10"/>
    <mergeCell ref="B29:C29"/>
    <mergeCell ref="B41:C41"/>
    <mergeCell ref="AE1:AI1"/>
    <mergeCell ref="I3:I4"/>
    <mergeCell ref="J3:J4"/>
    <mergeCell ref="K3:K4"/>
    <mergeCell ref="L3:L4"/>
    <mergeCell ref="D3:D4"/>
    <mergeCell ref="E3:E4"/>
    <mergeCell ref="F3:F4"/>
    <mergeCell ref="G3:G4"/>
    <mergeCell ref="H3:H4"/>
  </mergeCells>
  <conditionalFormatting sqref="D7:M7 D10:M13 D17:M25 D29:M38 D41:M46 D50:M108 D112:M139 D143:M150 D154:M163 D167:M175 D179:M194 D198:M206">
    <cfRule type="cellIs" dxfId="122" priority="1" operator="between">
      <formula>0.4</formula>
      <formula>0.599999</formula>
    </cfRule>
    <cfRule type="cellIs" dxfId="121" priority="2" operator="between">
      <formula>1</formula>
      <formula>1</formula>
    </cfRule>
    <cfRule type="cellIs" dxfId="120" priority="3" operator="between">
      <formula>0.8</formula>
      <formula>0.9999</formula>
    </cfRule>
    <cfRule type="cellIs" dxfId="119" priority="4" operator="between">
      <formula>0.6</formula>
      <formula>0.7999</formula>
    </cfRule>
    <cfRule type="cellIs" dxfId="118" priority="5" operator="between">
      <formula>0.2</formula>
      <formula>0.3999</formula>
    </cfRule>
    <cfRule type="cellIs" dxfId="117" priority="6" operator="between">
      <formula>0</formula>
      <formula>0.19999</formula>
    </cfRule>
    <cfRule type="cellIs" dxfId="116" priority="7" operator="equal">
      <formula>"Under development"</formula>
    </cfRule>
    <cfRule type="cellIs" dxfId="115" priority="14" operator="equal">
      <formula>"Not Applicable"</formula>
    </cfRule>
    <cfRule type="containsBlanks" dxfId="114" priority="39">
      <formula>LEN(TRIM(D7))=0</formula>
    </cfRule>
  </conditionalFormatting>
  <conditionalFormatting sqref="O32:X32">
    <cfRule type="cellIs" dxfId="113" priority="11" operator="equal">
      <formula>"Under development"</formula>
    </cfRule>
    <cfRule type="cellIs" dxfId="112" priority="12" operator="equal">
      <formula>"Not Applicable"</formula>
    </cfRule>
    <cfRule type="containsBlanks" dxfId="111" priority="13">
      <formula>LEN(TRIM(O32))=0</formula>
    </cfRule>
  </conditionalFormatting>
  <conditionalFormatting sqref="O34:X35">
    <cfRule type="cellIs" dxfId="110" priority="8" operator="equal">
      <formula>"Under development"</formula>
    </cfRule>
    <cfRule type="cellIs" dxfId="109" priority="9" operator="equal">
      <formula>"Not Applicable"</formula>
    </cfRule>
    <cfRule type="containsBlanks" dxfId="108" priority="10">
      <formula>LEN(TRIM(O34))=0</formula>
    </cfRule>
  </conditionalFormatting>
  <conditionalFormatting sqref="O60:X60 Z72:AI81 Z128:AI136">
    <cfRule type="cellIs" dxfId="107" priority="27" operator="between">
      <formula>1</formula>
      <formula>1</formula>
    </cfRule>
    <cfRule type="cellIs" dxfId="106" priority="28" operator="between">
      <formula>0.8</formula>
      <formula>0.9999</formula>
    </cfRule>
    <cfRule type="cellIs" dxfId="105" priority="29" operator="between">
      <formula>0.6</formula>
      <formula>0.7999</formula>
    </cfRule>
    <cfRule type="cellIs" dxfId="104" priority="30" operator="between">
      <formula>0.4</formula>
      <formula>0.599999</formula>
    </cfRule>
    <cfRule type="cellIs" dxfId="103" priority="31" operator="between">
      <formula>0.2</formula>
      <formula>0.3999</formula>
    </cfRule>
    <cfRule type="cellIs" dxfId="102" priority="32" operator="between">
      <formula>0</formula>
      <formula>0.19999</formula>
    </cfRule>
  </conditionalFormatting>
  <conditionalFormatting sqref="O98:X103">
    <cfRule type="cellIs" dxfId="101" priority="15" operator="between">
      <formula>1</formula>
      <formula>1</formula>
    </cfRule>
    <cfRule type="cellIs" dxfId="100" priority="16" operator="between">
      <formula>0.8</formula>
      <formula>0.9999</formula>
    </cfRule>
    <cfRule type="cellIs" dxfId="99" priority="17" operator="between">
      <formula>0.6</formula>
      <formula>0.7999</formula>
    </cfRule>
    <cfRule type="cellIs" dxfId="98" priority="18" operator="between">
      <formula>0.4</formula>
      <formula>0.599999</formula>
    </cfRule>
    <cfRule type="cellIs" dxfId="97" priority="19" operator="between">
      <formula>0.2</formula>
      <formula>0.3999</formula>
    </cfRule>
    <cfRule type="cellIs" dxfId="96" priority="20" operator="between">
      <formula>0</formula>
      <formula>0.19999</formula>
    </cfRule>
  </conditionalFormatting>
  <dataValidations count="2">
    <dataValidation type="list" allowBlank="1" showInputMessage="1" showErrorMessage="1" sqref="B4" xr:uid="{1849E143-662B-4996-97B9-0401A4BDC67F}">
      <formula1>"Disclosure, Alignment, Climate Solutions"</formula1>
    </dataValidation>
    <dataValidation type="list" allowBlank="1" showInputMessage="1" showErrorMessage="1" sqref="C3" xr:uid="{3A942911-84E4-4C6A-BEB9-2AF7A1898951}">
      <formula1>"Disclosure, Solutions, Alignment"</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2207B-6716-4A81-B81B-8D158D1EA3FA}">
  <sheetPr>
    <tabColor rgb="FF00B0F0"/>
  </sheetPr>
  <dimension ref="A1:V203"/>
  <sheetViews>
    <sheetView zoomScale="85" zoomScaleNormal="85" workbookViewId="0">
      <pane xSplit="3" ySplit="3" topLeftCell="D4" activePane="bottomRight" state="frozen"/>
      <selection pane="topRight" activeCell="D1" sqref="D1"/>
      <selection pane="bottomLeft" activeCell="A5" sqref="A5"/>
      <selection pane="bottomRight"/>
    </sheetView>
  </sheetViews>
  <sheetFormatPr defaultColWidth="0" defaultRowHeight="14" outlineLevelRow="2"/>
  <cols>
    <col min="1" max="1" width="3.1796875" style="40" customWidth="1"/>
    <col min="2" max="2" width="2.54296875" style="141" customWidth="1"/>
    <col min="3" max="3" width="55.7265625" style="40" customWidth="1"/>
    <col min="4" max="4" width="16.26953125" style="40" customWidth="1"/>
    <col min="5" max="14" width="17.1796875" style="40" customWidth="1"/>
    <col min="15" max="15" width="3.453125" style="40" customWidth="1"/>
    <col min="16" max="17" width="8.7265625" style="40" customWidth="1"/>
    <col min="18" max="22" width="0" style="50" hidden="1" customWidth="1"/>
    <col min="23" max="16384" width="8.7265625" style="50" hidden="1"/>
  </cols>
  <sheetData>
    <row r="1" spans="2:18" ht="56.5" customHeight="1">
      <c r="H1" s="349"/>
      <c r="I1" s="349"/>
      <c r="J1" s="349"/>
      <c r="K1" s="349"/>
      <c r="L1" s="349"/>
      <c r="M1" s="349"/>
      <c r="N1" s="349"/>
      <c r="O1" s="349"/>
      <c r="P1" s="345"/>
      <c r="Q1" s="345"/>
      <c r="R1" s="345"/>
    </row>
    <row r="2" spans="2:18" ht="14.5" thickBot="1">
      <c r="R2" s="40"/>
    </row>
    <row r="3" spans="2:18" ht="134.15" customHeight="1">
      <c r="B3" s="385" t="s">
        <v>391</v>
      </c>
      <c r="C3" s="386"/>
      <c r="D3" s="178" t="s">
        <v>392</v>
      </c>
      <c r="E3" s="259" t="s">
        <v>47</v>
      </c>
      <c r="F3" s="259" t="s">
        <v>49</v>
      </c>
      <c r="G3" s="259" t="s">
        <v>51</v>
      </c>
      <c r="H3" s="259" t="s">
        <v>52</v>
      </c>
      <c r="I3" s="259" t="s">
        <v>53</v>
      </c>
      <c r="J3" s="259" t="s">
        <v>54</v>
      </c>
      <c r="K3" s="259" t="s">
        <v>55</v>
      </c>
      <c r="L3" s="259" t="s">
        <v>56</v>
      </c>
      <c r="M3" s="259" t="s">
        <v>57</v>
      </c>
      <c r="N3" s="259" t="s">
        <v>58</v>
      </c>
      <c r="O3" s="40" t="s">
        <v>81</v>
      </c>
    </row>
    <row r="4" spans="2:18" ht="15" customHeight="1" thickBot="1">
      <c r="B4" s="142"/>
      <c r="C4" s="31"/>
      <c r="D4" s="31"/>
      <c r="E4" s="31"/>
      <c r="F4" s="31"/>
      <c r="G4" s="31"/>
      <c r="H4" s="31"/>
      <c r="I4" s="31"/>
      <c r="J4" s="31"/>
      <c r="K4" s="31"/>
      <c r="L4" s="31"/>
      <c r="M4" s="31"/>
      <c r="N4" s="31"/>
      <c r="O4" s="31"/>
    </row>
    <row r="5" spans="2:18" ht="15" customHeight="1">
      <c r="B5" s="143" t="s">
        <v>393</v>
      </c>
      <c r="C5" s="113" t="s">
        <v>394</v>
      </c>
      <c r="D5" s="114"/>
      <c r="E5" s="115">
        <f>E7</f>
        <v>1</v>
      </c>
      <c r="F5" s="115">
        <f t="shared" ref="F5:N5" si="0">F7</f>
        <v>0</v>
      </c>
      <c r="G5" s="115">
        <f t="shared" si="0"/>
        <v>0.5</v>
      </c>
      <c r="H5" s="115">
        <f t="shared" si="0"/>
        <v>1</v>
      </c>
      <c r="I5" s="115">
        <f t="shared" si="0"/>
        <v>0.5</v>
      </c>
      <c r="J5" s="115">
        <f t="shared" si="0"/>
        <v>1</v>
      </c>
      <c r="K5" s="115">
        <f t="shared" si="0"/>
        <v>0.5</v>
      </c>
      <c r="L5" s="115">
        <f t="shared" si="0"/>
        <v>1</v>
      </c>
      <c r="M5" s="115">
        <f t="shared" si="0"/>
        <v>0.5</v>
      </c>
      <c r="N5" s="115">
        <f t="shared" si="0"/>
        <v>1</v>
      </c>
      <c r="O5" s="116"/>
    </row>
    <row r="6" spans="2:18" ht="15" customHeight="1">
      <c r="B6" s="144"/>
      <c r="C6" s="91"/>
      <c r="D6" s="50"/>
      <c r="E6" s="117"/>
      <c r="F6" s="117"/>
      <c r="G6" s="117"/>
      <c r="H6" s="117"/>
      <c r="I6" s="117"/>
      <c r="J6" s="117"/>
      <c r="K6" s="117"/>
      <c r="L6" s="117"/>
      <c r="M6" s="117"/>
      <c r="N6" s="117"/>
      <c r="O6" s="118"/>
    </row>
    <row r="7" spans="2:18" ht="15" customHeight="1" outlineLevel="1">
      <c r="B7" s="145">
        <v>1.1000000000000001</v>
      </c>
      <c r="C7" s="91" t="str">
        <f>'CA100 2023 Scores'!C7</f>
        <v>1.1: Net-zero GHG Emissions by 2050 (Or Sooner) Ambition</v>
      </c>
      <c r="D7" s="119" t="str">
        <f>IF(ISBLANK(VLOOKUP(B7, [1]BP!$A$8:$E$191, 5, FALSE)), "", VLOOKUP(B7, [1]BP!$A$8:$E$191, 5, FALSE))</f>
        <v/>
      </c>
      <c r="E7" s="120">
        <f>AVERAGE(E8:E9)</f>
        <v>1</v>
      </c>
      <c r="F7" s="120">
        <f t="shared" ref="F7:N7" si="1">AVERAGE(F8:F9)</f>
        <v>0</v>
      </c>
      <c r="G7" s="120">
        <f t="shared" si="1"/>
        <v>0.5</v>
      </c>
      <c r="H7" s="120">
        <f t="shared" si="1"/>
        <v>1</v>
      </c>
      <c r="I7" s="120">
        <f t="shared" si="1"/>
        <v>0.5</v>
      </c>
      <c r="J7" s="120">
        <f t="shared" si="1"/>
        <v>1</v>
      </c>
      <c r="K7" s="120">
        <f t="shared" si="1"/>
        <v>0.5</v>
      </c>
      <c r="L7" s="120">
        <f t="shared" si="1"/>
        <v>1</v>
      </c>
      <c r="M7" s="120">
        <f t="shared" si="1"/>
        <v>0.5</v>
      </c>
      <c r="N7" s="120">
        <f t="shared" si="1"/>
        <v>1</v>
      </c>
      <c r="O7" s="121"/>
    </row>
    <row r="8" spans="2:18" ht="15" customHeight="1" outlineLevel="2">
      <c r="B8" s="145" t="s">
        <v>266</v>
      </c>
      <c r="C8" s="93" t="str">
        <f>'CA100 2023 Scores'!C8</f>
        <v>1.1.a: Qualitative Ambition Statement</v>
      </c>
      <c r="D8" s="119" t="str">
        <f>IF(ISBLANK(VLOOKUP(B8, [1]BP!$A$8:$E$191, 5, FALSE)), "", VLOOKUP(B8, [1]BP!$A$8:$E$191, 5, FALSE))</f>
        <v>Disclosure</v>
      </c>
      <c r="E8" s="120">
        <f>IF('CA100 2023 Scores'!$E$8="y",1,IF('CA100 2023 Scores'!$E$8="N",0,IF('CA100 2023 Scores'!$E$8="Partial",0.5,IF('CA100 2023 Scores'!$E$8="Not assessed","Under development"))))</f>
        <v>1</v>
      </c>
      <c r="F8" s="120">
        <f>IF('CA100 2023 Scores'!$F$8="y",1,IF('CA100 2023 Scores'!$F$8="N",0,IF('CA100 2023 Scores'!$F$8="Partial",0.5,IF('CA100 2023 Scores'!$F$8="Not assessed","Under development"))))</f>
        <v>0</v>
      </c>
      <c r="G8" s="120">
        <f>IF('CA100 2023 Scores'!$G$8="y",1,IF('CA100 2023 Scores'!$G$8="N",0,IF('CA100 2023 Scores'!$G$8="Partial",0.5,IF('CA100 2023 Scores'!$G$8="Not assessed","Under development"))))</f>
        <v>1</v>
      </c>
      <c r="H8" s="120">
        <f>IF('CA100 2023 Scores'!$H$8="y",1,IF('CA100 2023 Scores'!$H$8="N",0,IF('CA100 2023 Scores'!$H$8="Partial",0.5,IF('CA100 2023 Scores'!$H$8="Not assessed","Under development"))))</f>
        <v>1</v>
      </c>
      <c r="I8" s="120">
        <f>IF('CA100 2023 Scores'!$I$8="y",1,IF('CA100 2023 Scores'!$I$8="N",0,IF('CA100 2023 Scores'!$I$8="Partial",0.5,IF('CA100 2023 Scores'!$I$8="Not assessed","Under development"))))</f>
        <v>1</v>
      </c>
      <c r="J8" s="120">
        <f>IF('CA100 2023 Scores'!$J$8="y",1,IF('CA100 2023 Scores'!$J$8="N",0,IF('CA100 2023 Scores'!$J$8="Partial",0.5,IF('CA100 2023 Scores'!$J$8="Not assessed","Under development"))))</f>
        <v>1</v>
      </c>
      <c r="K8" s="120">
        <f>IF('CA100 2023 Scores'!$K$8="y",1,IF('CA100 2023 Scores'!$K$8="N",0,IF('CA100 2023 Scores'!$K$8="Partial",0.5,IF('CA100 2023 Scores'!$K$8="Not assessed","Under development"))))</f>
        <v>1</v>
      </c>
      <c r="L8" s="120">
        <f>IF('CA100 2023 Scores'!$L$8="y",1,IF('CA100 2023 Scores'!$L$8="N",0,IF('CA100 2023 Scores'!$L$8="Partial",0.5,IF('CA100 2023 Scores'!$L$8="Not assessed","Under development"))))</f>
        <v>1</v>
      </c>
      <c r="M8" s="120">
        <f>IF('CA100 2023 Scores'!$M$8="y",1,IF('CA100 2023 Scores'!$M$8="N",0,IF('CA100 2023 Scores'!$M$8="Partial",0.5,IF('CA100 2023 Scores'!$M$8="Not assessed","Under development"))))</f>
        <v>1</v>
      </c>
      <c r="N8" s="120">
        <f>IF('CA100 2023 Scores'!$N$8="y",1,IF('CA100 2023 Scores'!$N$8="N",0,IF('CA100 2023 Scores'!$N$8="Partial",0.5,IF('CA100 2023 Scores'!$N$8="Not assessed","Under development"))))</f>
        <v>1</v>
      </c>
      <c r="O8" s="122"/>
    </row>
    <row r="9" spans="2:18" ht="15" customHeight="1" outlineLevel="2">
      <c r="B9" s="145" t="s">
        <v>268</v>
      </c>
      <c r="C9" s="93" t="str">
        <f>'CA100 2023 Scores'!C9</f>
        <v>1.1.b: Coverage of Scope 3 GHG emissions categories</v>
      </c>
      <c r="D9" s="119" t="str">
        <f>IF(ISBLANK(VLOOKUP(B9, [1]BP!$A$8:$E$191, 5, FALSE)), "", VLOOKUP(B9, [1]BP!$A$8:$E$191, 5, FALSE))</f>
        <v>Disclosure</v>
      </c>
      <c r="E9" s="120">
        <f>IF('CA100 2023 Scores'!$E$9="y",1,IF('CA100 2023 Scores'!$E$9="N",0,IF('CA100 2023 Scores'!$E$9="Partial",0.5,IF('CA100 2023 Scores'!$E$9="Not assessed","Under development"))))</f>
        <v>1</v>
      </c>
      <c r="F9" s="120">
        <f>IF('CA100 2023 Scores'!$F$9="y",1,IF('CA100 2023 Scores'!$F$9="N",0,IF('CA100 2023 Scores'!$F$9="Partial",0.5,IF('CA100 2023 Scores'!$F$9="Not assessed","Under development"))))</f>
        <v>0</v>
      </c>
      <c r="G9" s="120">
        <f>IF('CA100 2023 Scores'!$G$9="y",1,IF('CA100 2023 Scores'!$G$9="N",0,IF('CA100 2023 Scores'!$G$9="Partial",0.5,IF('CA100 2023 Scores'!$G$9="Not assessed","Under development"))))</f>
        <v>0</v>
      </c>
      <c r="H9" s="120">
        <f>IF('CA100 2023 Scores'!$H$9="y",1,IF('CA100 2023 Scores'!$H$9="N",0,IF('CA100 2023 Scores'!$H$9="Partial",0.5,IF('CA100 2023 Scores'!$H$9="Not assessed","Under development"))))</f>
        <v>1</v>
      </c>
      <c r="I9" s="120">
        <f>IF('CA100 2023 Scores'!$I$9="y",1,IF('CA100 2023 Scores'!$I$9="N",0,IF('CA100 2023 Scores'!$I$9="Partial",0.5,IF('CA100 2023 Scores'!$I$9="Not assessed","Under development"))))</f>
        <v>0</v>
      </c>
      <c r="J9" s="120">
        <f>IF('CA100 2023 Scores'!$J$9="y",1,IF('CA100 2023 Scores'!$J$9="N",0,IF('CA100 2023 Scores'!$J$9="Partial",0.5,IF('CA100 2023 Scores'!$J$9="Not assessed","Under development"))))</f>
        <v>1</v>
      </c>
      <c r="K9" s="120">
        <f>IF('CA100 2023 Scores'!$K$9="y",1,IF('CA100 2023 Scores'!$K$9="N",0,IF('CA100 2023 Scores'!$K$9="Partial",0.5,IF('CA100 2023 Scores'!$K$9="Not assessed","Under development"))))</f>
        <v>0</v>
      </c>
      <c r="L9" s="120">
        <f>IF('CA100 2023 Scores'!$L$9="y",1,IF('CA100 2023 Scores'!$L$9="N",0,IF('CA100 2023 Scores'!$L$9="Partial",0.5,IF('CA100 2023 Scores'!$L$9="Not assessed","Under development"))))</f>
        <v>1</v>
      </c>
      <c r="M9" s="120">
        <f>IF('CA100 2023 Scores'!$M$9="y",1,IF('CA100 2023 Scores'!$M$9="N",0,IF('CA100 2023 Scores'!$M$9="Partial",0.5,IF('CA100 2023 Scores'!$M$9="Not assessed","Under development"))))</f>
        <v>0</v>
      </c>
      <c r="N9" s="120">
        <f>IF('CA100 2023 Scores'!$N$9="y",1,IF('CA100 2023 Scores'!$N$9="N",0,IF('CA100 2023 Scores'!$N$9="Partial",0.5,IF('CA100 2023 Scores'!$N$9="Not assessed","Under development"))))</f>
        <v>1</v>
      </c>
      <c r="O9" s="122"/>
    </row>
    <row r="10" spans="2:18" ht="15" customHeight="1" outlineLevel="1">
      <c r="B10" s="145"/>
      <c r="C10" s="96"/>
      <c r="D10" s="108"/>
      <c r="E10" s="120"/>
      <c r="F10" s="120"/>
      <c r="G10" s="120"/>
      <c r="H10" s="120"/>
      <c r="I10" s="120"/>
      <c r="J10" s="120"/>
      <c r="K10" s="120"/>
      <c r="L10" s="120"/>
      <c r="M10" s="120"/>
      <c r="N10" s="120"/>
      <c r="O10" s="122"/>
    </row>
    <row r="11" spans="2:18" ht="15" customHeight="1" thickBot="1">
      <c r="B11" s="146"/>
      <c r="C11" s="35"/>
      <c r="D11" s="35"/>
      <c r="E11" s="38"/>
      <c r="F11" s="38"/>
      <c r="G11" s="38"/>
      <c r="H11" s="38"/>
      <c r="I11" s="38"/>
      <c r="J11" s="38"/>
      <c r="K11" s="38"/>
      <c r="L11" s="38"/>
      <c r="M11" s="38"/>
      <c r="N11" s="38"/>
      <c r="O11" s="140"/>
    </row>
    <row r="12" spans="2:18" ht="15" customHeight="1">
      <c r="B12" s="147" t="s">
        <v>395</v>
      </c>
      <c r="C12" s="124" t="s">
        <v>396</v>
      </c>
      <c r="D12" s="125"/>
      <c r="E12" s="120">
        <f t="shared" ref="E12:N12" si="2">AVERAGE(E15,E16,E22)</f>
        <v>1</v>
      </c>
      <c r="F12" s="120">
        <f t="shared" si="2"/>
        <v>0.33333333333333331</v>
      </c>
      <c r="G12" s="120">
        <f t="shared" si="2"/>
        <v>0.5</v>
      </c>
      <c r="H12" s="120">
        <f t="shared" si="2"/>
        <v>0.88888888888888884</v>
      </c>
      <c r="I12" s="120">
        <f t="shared" si="2"/>
        <v>0.44444444444444442</v>
      </c>
      <c r="J12" s="120">
        <f t="shared" si="2"/>
        <v>1</v>
      </c>
      <c r="K12" s="120">
        <f t="shared" si="2"/>
        <v>0.44444444444444442</v>
      </c>
      <c r="L12" s="120">
        <f t="shared" si="2"/>
        <v>0.55555555555555547</v>
      </c>
      <c r="M12" s="120">
        <f t="shared" si="2"/>
        <v>0.5</v>
      </c>
      <c r="N12" s="120">
        <f t="shared" si="2"/>
        <v>0.55555555555555547</v>
      </c>
      <c r="O12" s="71"/>
    </row>
    <row r="13" spans="2:18" ht="15" customHeight="1">
      <c r="B13" s="147"/>
      <c r="C13" s="124"/>
      <c r="D13" s="125"/>
      <c r="E13" s="117"/>
      <c r="F13" s="117"/>
      <c r="G13" s="117"/>
      <c r="H13" s="117"/>
      <c r="I13" s="117"/>
      <c r="J13" s="117"/>
      <c r="K13" s="117"/>
      <c r="L13" s="117"/>
      <c r="M13" s="117"/>
      <c r="N13" s="117"/>
      <c r="O13" s="71"/>
    </row>
    <row r="14" spans="2:18" ht="15" customHeight="1">
      <c r="B14" s="144"/>
      <c r="C14" s="124"/>
      <c r="D14" s="50"/>
      <c r="E14" s="117"/>
      <c r="F14" s="117"/>
      <c r="G14" s="117"/>
      <c r="H14" s="117"/>
      <c r="I14" s="117"/>
      <c r="J14" s="117"/>
      <c r="K14" s="117"/>
      <c r="L14" s="117"/>
      <c r="M14" s="117"/>
      <c r="N14" s="117"/>
      <c r="O14" s="118"/>
    </row>
    <row r="15" spans="2:18" ht="15" customHeight="1" outlineLevel="1">
      <c r="B15" s="145">
        <v>2.1</v>
      </c>
      <c r="C15" s="91" t="str">
        <f>'CA100 2023 Scores'!C11</f>
        <v>2.1: Long-term (2036-2050) GHG Reduction Target(s)</v>
      </c>
      <c r="D15" s="119" t="str">
        <f>IF(ISBLANK(VLOOKUP(B15, [1]BP!$A$8:$E$191, 5, FALSE)), "", VLOOKUP(B15, [1]BP!$A$8:$E$191, 5, FALSE))</f>
        <v>Disclosure</v>
      </c>
      <c r="E15" s="120">
        <f>IF('CA100 2023 Scores'!$E$11="y",1,IF('CA100 2023 Scores'!$E$11="N",0,IF('CA100 2023 Scores'!$E$11="Partial",0.5,IF('CA100 2023 Scores'!$E$11="Not assessed","Under development"))))</f>
        <v>1</v>
      </c>
      <c r="F15" s="120">
        <f>IF('CA100 2023 Scores'!$F$11="y",1,IF('CA100 2023 Scores'!$F$11="N",0,IF('CA100 2023 Scores'!$F$11="Partial",0.5,IF('CA100 2023 Scores'!$F$11="Not assessed","Under development"))))</f>
        <v>1</v>
      </c>
      <c r="G15" s="120">
        <f>IF('CA100 2023 Scores'!$G$11="y",1,IF('CA100 2023 Scores'!$G$11="N",0,IF('CA100 2023 Scores'!$G$11="Partial",0.5,IF('CA100 2023 Scores'!$G$11="Not assessed","Under development"))))</f>
        <v>1</v>
      </c>
      <c r="H15" s="120">
        <f>IF('CA100 2023 Scores'!$H$11="y",1,IF('CA100 2023 Scores'!$H$11="N",0,IF('CA100 2023 Scores'!$H$11="Partial",0.5,IF('CA100 2023 Scores'!$H$11="Not assessed","Under development"))))</f>
        <v>1</v>
      </c>
      <c r="I15" s="120">
        <f>IF('CA100 2023 Scores'!$I$11="y",1,IF('CA100 2023 Scores'!$I$11="N",0,IF('CA100 2023 Scores'!$I$11="Partial",0.5,IF('CA100 2023 Scores'!$I$11="Not assessed","Under development"))))</f>
        <v>1</v>
      </c>
      <c r="J15" s="120">
        <f>IF('CA100 2023 Scores'!$J$11="y",1,IF('CA100 2023 Scores'!$J$11="N",0,IF('CA100 2023 Scores'!$J$11="Partial",0.5,IF('CA100 2023 Scores'!$J$11="Not assessed","Under development"))))</f>
        <v>1</v>
      </c>
      <c r="K15" s="120">
        <f>IF('CA100 2023 Scores'!$K$11="y",1,IF('CA100 2023 Scores'!$K$11="N",0,IF('CA100 2023 Scores'!$K$11="Partial",0.5,IF('CA100 2023 Scores'!$K$11="Not assessed","Under development"))))</f>
        <v>1</v>
      </c>
      <c r="L15" s="120">
        <f>IF('CA100 2023 Scores'!$L$11="y",1,IF('CA100 2023 Scores'!$L$11="N",0,IF('CA100 2023 Scores'!$L$11="Partial",0.5,IF('CA100 2023 Scores'!$L$11="Not assessed","Under development"))))</f>
        <v>1</v>
      </c>
      <c r="M15" s="120">
        <f>IF('CA100 2023 Scores'!$M$11="y",1,IF('CA100 2023 Scores'!$M$11="N",0,IF('CA100 2023 Scores'!$M$11="Partial",0.5,IF('CA100 2023 Scores'!$M$11="Not assessed","Under development"))))</f>
        <v>1</v>
      </c>
      <c r="N15" s="120">
        <f>IF('CA100 2023 Scores'!$N$11="y",1,IF('CA100 2023 Scores'!$N$11="N",0,IF('CA100 2023 Scores'!$N$11="Partial",0.5,IF('CA100 2023 Scores'!$N$11="Not assessed","Under development"))))</f>
        <v>1</v>
      </c>
      <c r="O15" s="122"/>
    </row>
    <row r="16" spans="2:18" ht="15" customHeight="1" outlineLevel="1">
      <c r="B16" s="145">
        <v>2.2000000000000002</v>
      </c>
      <c r="C16" s="91" t="s">
        <v>397</v>
      </c>
      <c r="D16" s="119" t="str">
        <f>IF(ISBLANK(VLOOKUP(B16, [1]BP!$A$8:$E$191, 5, FALSE)), "", VLOOKUP(B16, [1]BP!$A$8:$E$191, 5, FALSE))</f>
        <v/>
      </c>
      <c r="E16" s="120">
        <f>AVERAGE(E17:E21)</f>
        <v>1</v>
      </c>
      <c r="F16" s="120">
        <f t="shared" ref="F16:N16" si="3">AVERAGE(F17:F21)</f>
        <v>0</v>
      </c>
      <c r="G16" s="120">
        <f t="shared" si="3"/>
        <v>0.5</v>
      </c>
      <c r="H16" s="120">
        <f t="shared" si="3"/>
        <v>0.66666666666666663</v>
      </c>
      <c r="I16" s="120">
        <f t="shared" si="3"/>
        <v>0.33333333333333331</v>
      </c>
      <c r="J16" s="120">
        <f t="shared" si="3"/>
        <v>1</v>
      </c>
      <c r="K16" s="120">
        <f t="shared" si="3"/>
        <v>0.33333333333333331</v>
      </c>
      <c r="L16" s="120">
        <f t="shared" si="3"/>
        <v>0.66666666666666663</v>
      </c>
      <c r="M16" s="120">
        <f t="shared" si="3"/>
        <v>0.5</v>
      </c>
      <c r="N16" s="120">
        <f t="shared" si="3"/>
        <v>0.66666666666666663</v>
      </c>
      <c r="O16" s="122"/>
    </row>
    <row r="17" spans="2:18" ht="15" customHeight="1" outlineLevel="2">
      <c r="B17" s="145" t="str">
        <f t="shared" ref="B17:B19" si="4">LEFT(C17,FIND(":",C17)-1)</f>
        <v>2.2.a</v>
      </c>
      <c r="C17" s="93" t="str">
        <f>'CA100 2023 Scores'!C13</f>
        <v>2.2.a: Coverage of Scope 1 and Scope 2 GHG emissions</v>
      </c>
      <c r="D17" s="119" t="str">
        <f>IF(ISBLANK(VLOOKUP(B17, [1]BP!$A$8:$E$191, 5, FALSE)), "", VLOOKUP(B17, [1]BP!$A$8:$E$191, 5, FALSE))</f>
        <v>Disclosure</v>
      </c>
      <c r="E17" s="120">
        <f>IF('CA100 2023 Scores'!$E$13="y",1,IF('CA100 2023 Scores'!$E$13="N",0,IF('CA100 2023 Scores'!$E$13="Partial",0.5,IF('CA100 2023 Scores'!$E$13="Not assessed","Under development"))))</f>
        <v>1</v>
      </c>
      <c r="F17" s="120">
        <f>IF('CA100 2023 Scores'!$F$13="y",1,IF('CA100 2023 Scores'!$F$13="N",0,IF('CA100 2023 Scores'!$F$13="Partial",0.5,IF('CA100 2023 Scores'!$F$13="Not assessed","Under development"))))</f>
        <v>0</v>
      </c>
      <c r="G17" s="120">
        <f>IF('CA100 2023 Scores'!$G$13="y",1,IF('CA100 2023 Scores'!$G$13="N",0,IF('CA100 2023 Scores'!$G$13="Partial",0.5,IF('CA100 2023 Scores'!$G$13="Not assessed","Under development"))))</f>
        <v>1</v>
      </c>
      <c r="H17" s="120">
        <f>IF('CA100 2023 Scores'!$H$13="y",1,IF('CA100 2023 Scores'!$H$13="N",0,IF('CA100 2023 Scores'!$H$13="Partial",0.5,IF('CA100 2023 Scores'!$H$13="Not assessed","Under development"))))</f>
        <v>1</v>
      </c>
      <c r="I17" s="120">
        <f>IF('CA100 2023 Scores'!$I$13="y",1,IF('CA100 2023 Scores'!$I$13="N",0,IF('CA100 2023 Scores'!$I$13="Partial",0.5,IF('CA100 2023 Scores'!$I$13="Not assessed","Under development"))))</f>
        <v>1</v>
      </c>
      <c r="J17" s="120">
        <f>IF('CA100 2023 Scores'!$J$13="y",1,IF('CA100 2023 Scores'!$J$13="N",0,IF('CA100 2023 Scores'!$J$13="Partial",0.5,IF('CA100 2023 Scores'!$J$13="Not assessed","Under development"))))</f>
        <v>1</v>
      </c>
      <c r="K17" s="120">
        <f>IF('CA100 2023 Scores'!$K$13="y",1,IF('CA100 2023 Scores'!$K$13="N",0,IF('CA100 2023 Scores'!$K$13="Partial",0.5,IF('CA100 2023 Scores'!$K$13="Not assessed","Under development"))))</f>
        <v>1</v>
      </c>
      <c r="L17" s="120">
        <f>IF('CA100 2023 Scores'!$L$13="y",1,IF('CA100 2023 Scores'!$L$13="N",0,IF('CA100 2023 Scores'!$L$13="Partial",0.5,IF('CA100 2023 Scores'!$L$13="Not assessed","Under development"))))</f>
        <v>1</v>
      </c>
      <c r="M17" s="120">
        <f>IF('CA100 2023 Scores'!$M$13="y",1,IF('CA100 2023 Scores'!$M$13="N",0,IF('CA100 2023 Scores'!$M$13="Partial",0.5,IF('CA100 2023 Scores'!$M$13="Not assessed","Under development"))))</f>
        <v>1</v>
      </c>
      <c r="N17" s="120">
        <f>IF('CA100 2023 Scores'!$N$13="y",1,IF('CA100 2023 Scores'!$N$13="N",0,IF('CA100 2023 Scores'!$N$13="Partial",0.5,IF('CA100 2023 Scores'!$N$13="Not assessed","Under development"))))</f>
        <v>1</v>
      </c>
      <c r="O17" s="122"/>
    </row>
    <row r="18" spans="2:18" s="40" customFormat="1" ht="15" customHeight="1" outlineLevel="2">
      <c r="B18" s="145" t="str">
        <f>LEFT(C18,FIND(" ",C18)-1)</f>
        <v>2.i.a</v>
      </c>
      <c r="C18" s="126" t="s">
        <v>398</v>
      </c>
      <c r="D18" s="127" t="s">
        <v>45</v>
      </c>
      <c r="E18" s="120" t="str">
        <f>IF('NZS O&amp;G Summary'!$F$10="Y",1,IF('NZS O&amp;G Summary'!$F$10="n",0,IF('NZS O&amp;G Summary'!$F$10="Under development","Under development",IF('NZS O&amp;G Summary'!$F$10="Not applicable", "Not Applicable"))))</f>
        <v>Under development</v>
      </c>
      <c r="F18" s="128" t="str">
        <f>IF('NZS O&amp;G Summary'!$G$10="y",1,IF('NZS O&amp;G Summary'!$G$10="n",0,IF('NZS O&amp;G Summary'!$G$10="Under development","Under development",IF('NZS O&amp;G Summary'!$G$10="Not applicable", "Not Applicable"))))</f>
        <v>Under development</v>
      </c>
      <c r="G18" s="128" t="str">
        <f>IF('NZS O&amp;G Summary'!$H$10="y",1,IF('NZS O&amp;G Summary'!$H$10="n",0,IF('NZS O&amp;G Summary'!$H$10="Under development","Under development",IF('NZS O&amp;G Summary'!$H$10="Not applicable", "Not Applicable"))))</f>
        <v>Under development</v>
      </c>
      <c r="H18" s="128" t="str">
        <f>IF('NZS O&amp;G Summary'!$I$10="y",1,IF('NZS O&amp;G Summary'!$I$10="N",0,IF('NZS O&amp;G Summary'!$I$10="Under development","Under development",IF('NZS O&amp;G Summary'!$I$10="Not applicable", "Not Applicable"))))</f>
        <v>Under development</v>
      </c>
      <c r="I18" s="128" t="str">
        <f>IF('NZS O&amp;G Summary'!$J$10="Y",1,IF('NZS O&amp;G Summary'!$J$10="n",0,IF('NZS O&amp;G Summary'!$J$10="Under development","Under development",IF('NZS O&amp;G Summary'!$J$10="Not applicable", "Not Applicable"))))</f>
        <v>Under development</v>
      </c>
      <c r="J18" s="128" t="str">
        <f>IF('NZS O&amp;G Summary'!$K$10="Y",1,IF('NZS O&amp;G Summary'!$K$10="N",0,IF('NZS O&amp;G Summary'!$K$10="Under development","Under development",IF('NZS O&amp;G Summary'!$K$10="Not applicable", "Not Applicable"))))</f>
        <v>Under development</v>
      </c>
      <c r="K18" s="128" t="str">
        <f>IF('NZS O&amp;G Summary'!$L$10="Y",1,IF('NZS O&amp;G Summary'!$L$10="n",0,IF('NZS O&amp;G Summary'!$L$10="Under development","Under development",IF('NZS O&amp;G Summary'!$L$10="Not applicable", "Not Applicable"))))</f>
        <v>Under development</v>
      </c>
      <c r="L18" s="128" t="str">
        <f>IF('NZS O&amp;G Summary'!$M$10="Y",1,IF('NZS O&amp;G Summary'!$M$10="N",0,IF('NZS O&amp;G Summary'!$M$10="Under development","Under development",IF('NZS O&amp;G Summary'!$M$10="Not applicable", "Not Applicable"))))</f>
        <v>Under development</v>
      </c>
      <c r="M18" s="128" t="str">
        <f>IF('NZS O&amp;G Summary'!$N$10="Y",1,IF('NZS O&amp;G Summary'!$N$10="n",0,IF('NZS O&amp;G Summary'!$N$10="Under development","Under development",IF('NZS O&amp;G Summary'!$N$10="Not applicable", "Not Applicable"))))</f>
        <v>Under development</v>
      </c>
      <c r="N18" s="128" t="str">
        <f>IF('NZS O&amp;G Summary'!$O$10="Y",1,IF('NZS O&amp;G Summary'!$O$10="N",0,IF('NZS O&amp;G Summary'!$O$10="Under development","Under development",IF('NZS O&amp;G Summary'!$O$10="Not applicable", "Not Applicable"))))</f>
        <v>Under development</v>
      </c>
      <c r="O18" s="122"/>
      <c r="R18" s="50"/>
    </row>
    <row r="19" spans="2:18" s="40" customFormat="1" ht="15" customHeight="1" outlineLevel="2">
      <c r="B19" s="145" t="str">
        <f t="shared" si="4"/>
        <v>2.2.b</v>
      </c>
      <c r="C19" s="93" t="str">
        <f>'CA100 2023 Scores'!C14</f>
        <v>2.2.b: Coverage of Scope 3 GHG categories</v>
      </c>
      <c r="D19" s="119" t="str">
        <f>IF(ISBLANK(VLOOKUP(B19, [1]BP!$A$8:$E$191, 5, FALSE)), "", VLOOKUP(B19, [1]BP!$A$8:$E$191, 5, FALSE))</f>
        <v>Disclosure</v>
      </c>
      <c r="E19" s="120">
        <f>IF('CA100 2023 Scores'!$E$14="y",1,IF('CA100 2023 Scores'!$E$14="N",0,IF('CA100 2023 Scores'!$E$14="Partial",0.5,IF('CA100 2023 Scores'!$E$14="Not assessed","Under development"))))</f>
        <v>1</v>
      </c>
      <c r="F19" s="120">
        <f>IF('CA100 2023 Scores'!$F$14="y",1,IF('CA100 2023 Scores'!$F$14="N",0,IF('CA100 2023 Scores'!$F$14="Partial",0.5,IF('CA100 2023 Scores'!$F$14="Not assessed","Under development"))))</f>
        <v>0</v>
      </c>
      <c r="G19" s="120">
        <f>IF('CA100 2023 Scores'!$G$14="y",1,IF('CA100 2023 Scores'!$G$14="N",0,IF('CA100 2023 Scores'!$G$14="Partial",0.5,IF('CA100 2023 Scores'!$G$14="Not assessed","Under development"))))</f>
        <v>0</v>
      </c>
      <c r="H19" s="120">
        <f>IF('CA100 2023 Scores'!$H$14="y",1,IF('CA100 2023 Scores'!$H$14="N",0,IF('CA100 2023 Scores'!$H$14="Partial",0.5,IF('CA100 2023 Scores'!$H$14="Not assessed","Under development"))))</f>
        <v>1</v>
      </c>
      <c r="I19" s="120">
        <f>IF('CA100 2023 Scores'!$I$14="y",1,IF('CA100 2023 Scores'!$I$14="N",0,IF('CA100 2023 Scores'!$I$14="Partial",0.5,IF('CA100 2023 Scores'!$I$14="Not assessed","Under development"))))</f>
        <v>0</v>
      </c>
      <c r="J19" s="120">
        <f>IF('CA100 2023 Scores'!$J$14="y",1,IF('CA100 2023 Scores'!$J$14="N",0,IF('CA100 2023 Scores'!$J$14="Partial",0.5,IF('CA100 2023 Scores'!$J$14="Not assessed","Under development"))))</f>
        <v>1</v>
      </c>
      <c r="K19" s="120">
        <f>IF('CA100 2023 Scores'!$K$14="y",1,IF('CA100 2023 Scores'!$K$14="N",0,IF('CA100 2023 Scores'!$K$14="Partial",0.5,IF('CA100 2023 Scores'!$K$14="Not assessed","Under development"))))</f>
        <v>0</v>
      </c>
      <c r="L19" s="120">
        <f>IF('CA100 2023 Scores'!$L$14="y",1,IF('CA100 2023 Scores'!$L$14="N",0,IF('CA100 2023 Scores'!$L$14="Partial",0.5,IF('CA100 2023 Scores'!$L$14="Not assessed","Under development"))))</f>
        <v>1</v>
      </c>
      <c r="M19" s="120">
        <f>IF('CA100 2023 Scores'!$M$14="y",1,IF('CA100 2023 Scores'!$M$14="N",0,IF('CA100 2023 Scores'!$M$14="Partial",0.5,IF('CA100 2023 Scores'!$M$14="Not assessed","Under development"))))</f>
        <v>0</v>
      </c>
      <c r="N19" s="120">
        <f>IF('CA100 2023 Scores'!$N$14="y",1,IF('CA100 2023 Scores'!$N$14="N",0,IF('CA100 2023 Scores'!$N$14="Partial",0.5,IF('CA100 2023 Scores'!$N$14="Not assessed","Under development"))))</f>
        <v>1</v>
      </c>
      <c r="O19" s="122"/>
      <c r="R19" s="50"/>
    </row>
    <row r="20" spans="2:18" s="40" customFormat="1" ht="15" customHeight="1" outlineLevel="2">
      <c r="B20" s="145" t="str">
        <f t="shared" ref="B20:B21" si="5">LEFT(C20,FIND(" ",C20)-1)</f>
        <v>2.ii.a</v>
      </c>
      <c r="C20" s="126" t="s">
        <v>399</v>
      </c>
      <c r="D20" s="127" t="s">
        <v>44</v>
      </c>
      <c r="E20" s="120">
        <f>IF('NZS O&amp;G Summary'!$F$11="Y",1,IF('NZS O&amp;G Summary'!$F$11="n",0,IF('NZS O&amp;G Summary'!$F$11="Under development","Under development",IF('NZS O&amp;G Summary'!$F$11="Not applicable", "Not Applicable"))))</f>
        <v>1</v>
      </c>
      <c r="F20" s="120">
        <f>IF('NZS O&amp;G Summary'!$G$11="y",1,IF('NZS O&amp;G Summary'!$G$11="n",0,IF('NZS O&amp;G Summary'!$G$11="Under development","Under development",IF('NZS O&amp;G Summary'!$G$11="Not applicable", "Not Applicable"))))</f>
        <v>0</v>
      </c>
      <c r="G20" s="120" t="str">
        <f>IF('NZS O&amp;G Summary'!$H$11="y",1,IF('NZS O&amp;G Summary'!$H$11="n",0,IF('NZS O&amp;G Summary'!$H$11="Under development","Under development",IF('NZS O&amp;G Summary'!$H$11="Not applicable", "Not Applicable"))))</f>
        <v>Not Applicable</v>
      </c>
      <c r="H20" s="120">
        <f>IF('NZS O&amp;G Summary'!$I$11="y",1,IF('NZS O&amp;G Summary'!$I$11="N",0,IF('NZS O&amp;G Summary'!$I$11="Under development","Under development",IF('NZS O&amp;G Summary'!$I$11="Not applicable", "Not Applicable"))))</f>
        <v>0</v>
      </c>
      <c r="I20" s="120">
        <f>IF('NZS O&amp;G Summary'!$J$11="Y",1,IF('NZS O&amp;G Summary'!$J$11="n",0,IF('NZS O&amp;G Summary'!$J$11="Under development","Under development",IF('NZS O&amp;G Summary'!$J$11="Not applicable", "Not Applicable"))))</f>
        <v>0</v>
      </c>
      <c r="J20" s="120" t="str">
        <f>IF('NZS O&amp;G Summary'!$K$11="Y",1,IF('NZS O&amp;G Summary'!$K$11="N",0,IF('NZS O&amp;G Summary'!$K$11="Under development","Under development",IF('NZS O&amp;G Summary'!$K$11="Not applicable", "Not Applicable"))))</f>
        <v>Not Applicable</v>
      </c>
      <c r="K20" s="120">
        <f>IF('NZS O&amp;G Summary'!$L$11="Y",1,IF('NZS O&amp;G Summary'!$L$11="n",0,IF('NZS O&amp;G Summary'!$L$11="Under development","Under development",IF('NZS O&amp;G Summary'!$L$11="Not applicable", "Not Applicable"))))</f>
        <v>0</v>
      </c>
      <c r="L20" s="120">
        <f>IF('NZS O&amp;G Summary'!$M$11="Y",1,IF('NZS O&amp;G Summary'!$M$11="N",0,IF('NZS O&amp;G Summary'!$M$11="Under development","Under development",IF('NZS O&amp;G Summary'!$M$11="Not applicable", "Not Applicable"))))</f>
        <v>0</v>
      </c>
      <c r="M20" s="120" t="str">
        <f>IF('NZS O&amp;G Summary'!$N$11="Y",1,IF('NZS O&amp;G Summary'!$N$11="n",0,IF('NZS O&amp;G Summary'!$N$11="Under development","Under development",IF('NZS O&amp;G Summary'!$N$11="Not applicable", "Not Applicable"))))</f>
        <v>Not Applicable</v>
      </c>
      <c r="N20" s="120">
        <f>IF('NZS O&amp;G Summary'!$O$11="Y",1,IF('NZS O&amp;G Summary'!$O$11="N",0,IF('NZS O&amp;G Summary'!$O$11="Under development","Under development",IF('NZS O&amp;G Summary'!$O$11="Not applicable", "Not Applicable"))))</f>
        <v>0</v>
      </c>
      <c r="O20" s="122"/>
      <c r="R20" s="50"/>
    </row>
    <row r="21" spans="2:18" s="40" customFormat="1" ht="15" customHeight="1" outlineLevel="2">
      <c r="B21" s="145" t="str">
        <f t="shared" si="5"/>
        <v>2.ii.b</v>
      </c>
      <c r="C21" s="126" t="s">
        <v>400</v>
      </c>
      <c r="D21" s="127" t="s">
        <v>45</v>
      </c>
      <c r="E21" s="120" t="str">
        <f>IF('NZS O&amp;G Summary'!$F$12="Y",1,IF('NZS O&amp;G Summary'!$F$12="n",0,IF('NZS O&amp;G Summary'!$F$12="Under development","Under development",IF('NZS O&amp;G Summary'!$F$12="Not applicable", "Not Applicable"))))</f>
        <v>Under development</v>
      </c>
      <c r="F21" s="120" t="str">
        <f>IF('NZS O&amp;G Summary'!$G$12="y",1,IF('NZS O&amp;G Summary'!$G$12="n",0,IF('NZS O&amp;G Summary'!$G$12="Under development","Under development",IF('NZS O&amp;G Summary'!$G$12="Not applicable", "Not Applicable"))))</f>
        <v>Under development</v>
      </c>
      <c r="G21" s="120" t="str">
        <f>IF('NZS O&amp;G Summary'!$H$12="y",1,IF('NZS O&amp;G Summary'!$H$12="n",0,IF('NZS O&amp;G Summary'!$H$12="Under development","Under development",IF('NZS O&amp;G Summary'!$H$12="Not applicable", "Not Applicable"))))</f>
        <v>Under development</v>
      </c>
      <c r="H21" s="120" t="str">
        <f>IF('NZS O&amp;G Summary'!$I$12="y",1,IF('NZS O&amp;G Summary'!$I$12="N",0,IF('NZS O&amp;G Summary'!$I$12="Under development","Under development",IF('NZS O&amp;G Summary'!$I$12="Not applicable", "Not Applicable"))))</f>
        <v>Under development</v>
      </c>
      <c r="I21" s="120" t="str">
        <f>IF('NZS O&amp;G Summary'!$J$12="Y",1,IF('NZS O&amp;G Summary'!$J$12="n",0,IF('NZS O&amp;G Summary'!$J$12="Under development","Under development",IF('NZS O&amp;G Summary'!$J$12="Not applicable", "Not Applicable"))))</f>
        <v>Under development</v>
      </c>
      <c r="J21" s="120" t="str">
        <f>IF('NZS O&amp;G Summary'!$K$12="Y",1,IF('NZS O&amp;G Summary'!$K$12="N",0,IF('NZS O&amp;G Summary'!$K$12="Under development","Under development",IF('NZS O&amp;G Summary'!$K$12="Not applicable", "Not Applicable"))))</f>
        <v>Under development</v>
      </c>
      <c r="K21" s="120" t="str">
        <f>IF('NZS O&amp;G Summary'!$L$12="Y",1,IF('NZS O&amp;G Summary'!$L$12="n",0,IF('NZS O&amp;G Summary'!$L$12="Under development","Under development",IF('NZS O&amp;G Summary'!$L$12="Not applicable", "Not Applicable"))))</f>
        <v>Under development</v>
      </c>
      <c r="L21" s="120" t="str">
        <f>IF('NZS O&amp;G Summary'!$M$12="Y",1,IF('NZS O&amp;G Summary'!$M$12="N",0,IF('NZS O&amp;G Summary'!$M$12="Under development","Under development",IF('NZS O&amp;G Summary'!$M$12="Not applicable", "Not Applicable"))))</f>
        <v>Under development</v>
      </c>
      <c r="M21" s="120" t="str">
        <f>IF('NZS O&amp;G Summary'!$N$12="Y",1,IF('NZS O&amp;G Summary'!$N$12="n",0,IF('NZS O&amp;G Summary'!$N$12="Under development","Under development",IF('NZS O&amp;G Summary'!$N$12="Not applicable", "Not Applicable"))))</f>
        <v>Under development</v>
      </c>
      <c r="N21" s="120" t="str">
        <f>IF('NZS O&amp;G Summary'!$O$12="Y",1,IF('NZS O&amp;G Summary'!$O$12="N",0,IF('NZS O&amp;G Summary'!$O$12="Under development","Under development",IF('NZS O&amp;G Summary'!$O$12="Not applicable", "Not Applicable"))))</f>
        <v>Under development</v>
      </c>
      <c r="O21" s="122"/>
      <c r="R21" s="50"/>
    </row>
    <row r="22" spans="2:18" s="40" customFormat="1" ht="15" customHeight="1" outlineLevel="1">
      <c r="B22" s="145">
        <v>2.2999999999999998</v>
      </c>
      <c r="C22" s="91" t="str">
        <f>'CA100 2023 Scores'!C15</f>
        <v xml:space="preserve">2.3: Paris Agreement alignment of target carbon intensity </v>
      </c>
      <c r="D22" s="119" t="str">
        <f>IF(ISBLANK(VLOOKUP(B22, [1]BP!$A$8:$E$191, 5, FALSE)), "", VLOOKUP(B22, [1]BP!$A$8:$E$191, 5, FALSE))</f>
        <v>Alignment</v>
      </c>
      <c r="E22" s="120">
        <f>IF('CA100 2023 Scores'!$E$15="y",1,IF('CA100 2023 Scores'!$E$15="N",0,IF('CA100 2023 Scores'!$E$15="Partial",0.5,IF('CA100 2023 Scores'!$E$15="Not assessed","Under development"))))</f>
        <v>1</v>
      </c>
      <c r="F22" s="120">
        <f>IF('CA100 2023 Scores'!$F$15="y",1,IF('CA100 2023 Scores'!$F$15="N",0,IF('CA100 2023 Scores'!$F$15="Partial",0.5,IF('CA100 2023 Scores'!$F$15="Not assessed","Under development"))))</f>
        <v>0</v>
      </c>
      <c r="G22" s="120">
        <f>IF('CA100 2023 Scores'!$G$15="y",1,IF('CA100 2023 Scores'!$G$15="N",0,IF('CA100 2023 Scores'!$G$15="Partial",0.5,IF('CA100 2023 Scores'!$G$15="Not assessed","Under development"))))</f>
        <v>0</v>
      </c>
      <c r="H22" s="120">
        <f>IF('CA100 2023 Scores'!$H$15="y",1,IF('CA100 2023 Scores'!$H$15="N",0,IF('CA100 2023 Scores'!$H$15="Partial",0.5,IF('CA100 2023 Scores'!$H$15="Not assessed","Under development"))))</f>
        <v>1</v>
      </c>
      <c r="I22" s="120">
        <f>IF('CA100 2023 Scores'!$I$15="y",1,IF('CA100 2023 Scores'!$I$15="N",0,IF('CA100 2023 Scores'!$I$15="Partial",0.5,IF('CA100 2023 Scores'!$I$15="Not assessed","Under development"))))</f>
        <v>0</v>
      </c>
      <c r="J22" s="120">
        <f>IF('CA100 2023 Scores'!$J$15="y",1,IF('CA100 2023 Scores'!$J$15="N",0,IF('CA100 2023 Scores'!$J$15="Partial",0.5,IF('CA100 2023 Scores'!$J$15="Not assessed","Under development"))))</f>
        <v>1</v>
      </c>
      <c r="K22" s="120">
        <f>IF('CA100 2023 Scores'!$K$15="y",1,IF('CA100 2023 Scores'!$K$15="N",0,IF('CA100 2023 Scores'!$K$15="Partial",0.5,IF('CA100 2023 Scores'!$K$15="Not assessed","Under development"))))</f>
        <v>0</v>
      </c>
      <c r="L22" s="120">
        <f>IF('CA100 2023 Scores'!$L$15="y",1,IF('CA100 2023 Scores'!$L$15="N",0,IF('CA100 2023 Scores'!$L$15="Partial",0.5,IF('CA100 2023 Scores'!$L$15="Not assessed","Under development"))))</f>
        <v>0</v>
      </c>
      <c r="M22" s="120">
        <f>IF('CA100 2023 Scores'!$M$15="y",1,IF('CA100 2023 Scores'!$M$15="N",0,IF('CA100 2023 Scores'!$M$15="Partial",0.5,IF('CA100 2023 Scores'!$M$15="Not assessed","Under development"))))</f>
        <v>0</v>
      </c>
      <c r="N22" s="120">
        <f>IF('CA100 2023 Scores'!$N$15="y",1,IF('CA100 2023 Scores'!$N$15="N",0,IF('CA100 2023 Scores'!$N$15="Partial",0.5,IF('CA100 2023 Scores'!$N$15="Not assessed","Under development"))))</f>
        <v>0</v>
      </c>
      <c r="O22" s="122"/>
      <c r="R22" s="50"/>
    </row>
    <row r="23" spans="2:18" s="40" customFormat="1" ht="15" customHeight="1" outlineLevel="1">
      <c r="B23" s="145"/>
      <c r="C23" s="31"/>
      <c r="D23" s="108"/>
      <c r="E23" s="120"/>
      <c r="F23" s="120"/>
      <c r="G23" s="120"/>
      <c r="H23" s="120"/>
      <c r="I23" s="120"/>
      <c r="J23" s="120"/>
      <c r="K23" s="120"/>
      <c r="L23" s="120"/>
      <c r="M23" s="120"/>
      <c r="N23" s="120"/>
      <c r="O23" s="122"/>
      <c r="R23" s="50"/>
    </row>
    <row r="24" spans="2:18" s="40" customFormat="1" ht="15" customHeight="1">
      <c r="B24" s="148"/>
      <c r="C24" s="123" t="s">
        <v>81</v>
      </c>
      <c r="D24" s="123" t="s">
        <v>81</v>
      </c>
      <c r="E24" s="94" t="s">
        <v>81</v>
      </c>
      <c r="F24" s="94" t="s">
        <v>81</v>
      </c>
      <c r="G24" s="94" t="s">
        <v>81</v>
      </c>
      <c r="H24" s="94" t="s">
        <v>81</v>
      </c>
      <c r="I24" s="94" t="s">
        <v>81</v>
      </c>
      <c r="J24" s="94" t="s">
        <v>81</v>
      </c>
      <c r="K24" s="94"/>
      <c r="L24" s="94"/>
      <c r="M24" s="94"/>
      <c r="N24" s="94"/>
      <c r="O24" s="122" t="s">
        <v>81</v>
      </c>
      <c r="R24" s="50"/>
    </row>
    <row r="25" spans="2:18" s="40" customFormat="1" ht="15" customHeight="1">
      <c r="B25" s="149" t="s">
        <v>401</v>
      </c>
      <c r="C25" s="72" t="s">
        <v>402</v>
      </c>
      <c r="D25" s="69"/>
      <c r="E25" s="68">
        <f>AVERAGE(E27,E28,E34,E35)</f>
        <v>0.66666666666666663</v>
      </c>
      <c r="F25" s="68">
        <f>AVERAGE(F27,F28,F34,F35)</f>
        <v>0.55555555555555547</v>
      </c>
      <c r="G25" s="68">
        <f t="shared" ref="G25:N25" si="6">AVERAGE(G27,G28,G34,G35)</f>
        <v>0.5</v>
      </c>
      <c r="H25" s="68">
        <f t="shared" si="6"/>
        <v>0.55555555555555547</v>
      </c>
      <c r="I25" s="68">
        <f t="shared" si="6"/>
        <v>0</v>
      </c>
      <c r="J25" s="68">
        <f t="shared" si="6"/>
        <v>0</v>
      </c>
      <c r="K25" s="68">
        <f t="shared" si="6"/>
        <v>0.44444444444444442</v>
      </c>
      <c r="L25" s="68">
        <f t="shared" si="6"/>
        <v>0.55555555555555547</v>
      </c>
      <c r="M25" s="68">
        <f t="shared" si="6"/>
        <v>0</v>
      </c>
      <c r="N25" s="68">
        <f t="shared" si="6"/>
        <v>0.55555555555555547</v>
      </c>
      <c r="O25" s="70" t="s">
        <v>81</v>
      </c>
      <c r="R25" s="50"/>
    </row>
    <row r="26" spans="2:18" s="40" customFormat="1" ht="15" customHeight="1">
      <c r="B26" s="148"/>
      <c r="C26" s="50"/>
      <c r="D26" s="125"/>
      <c r="E26" s="117"/>
      <c r="F26" s="117"/>
      <c r="G26" s="117"/>
      <c r="H26" s="117"/>
      <c r="I26" s="117"/>
      <c r="J26" s="117"/>
      <c r="K26" s="117"/>
      <c r="L26" s="117"/>
      <c r="M26" s="117"/>
      <c r="N26" s="117"/>
      <c r="O26" s="71"/>
      <c r="R26" s="50"/>
    </row>
    <row r="27" spans="2:18" s="40" customFormat="1" ht="15" customHeight="1" outlineLevel="1">
      <c r="B27" s="145">
        <v>3.1</v>
      </c>
      <c r="C27" s="91" t="str">
        <f>'CA100 2023 Scores'!C17</f>
        <v>3.1: Medium-term (2027-2035) GHG Reduction Target(s)</v>
      </c>
      <c r="D27" s="119" t="str">
        <f>IF(ISBLANK(VLOOKUP(B27, [1]BP!$A$8:$E$191, 5, FALSE)), "", VLOOKUP(B27, [1]BP!$A$8:$E$191, 5, FALSE))</f>
        <v>Disclosure</v>
      </c>
      <c r="E27" s="120">
        <f>IF('CA100 2023 Scores'!$E$17="y",1,IF('CA100 2023 Scores'!$E$17="N",0,IF('CA100 2023 Scores'!$E$17="Partial",0.5,IF('CA100 2023 Scores'!$E$17="Not assessed","Under development"))))</f>
        <v>1</v>
      </c>
      <c r="F27" s="120">
        <f>IF('CA100 2023 Scores'!$F$17="y",1,IF('CA100 2023 Scores'!$F$17="N",0,IF('CA100 2023 Scores'!$F$17="Partial",0.5,IF('CA100 2023 Scores'!$F$17="Not assessed","Under development"))))</f>
        <v>1</v>
      </c>
      <c r="G27" s="120">
        <f>IF('CA100 2023 Scores'!$G$17="y",1,IF('CA100 2023 Scores'!$G$17="N",0,IF('CA100 2023 Scores'!$G$17="Partial",0.5,IF('CA100 2023 Scores'!$G$17="Not assessed","Under development"))))</f>
        <v>1</v>
      </c>
      <c r="H27" s="120">
        <f>IF('CA100 2023 Scores'!$H$17="y",1,IF('CA100 2023 Scores'!$H$17="N",0,IF('CA100 2023 Scores'!$H$17="Partial",0.5,IF('CA100 2023 Scores'!$H$17="Not assessed","Under development"))))</f>
        <v>1</v>
      </c>
      <c r="I27" s="120">
        <f>IF('CA100 2023 Scores'!$I$17="y",1,IF('CA100 2023 Scores'!$I$17="N",0,IF('CA100 2023 Scores'!$I$17="Partial",0.5,IF('CA100 2023 Scores'!$I$17="Not assessed","Under development"))))</f>
        <v>0</v>
      </c>
      <c r="J27" s="120">
        <f>IF('CA100 2023 Scores'!$J$17="y",1,IF('CA100 2023 Scores'!$J$17="N",0,IF('CA100 2023 Scores'!$J$17="Partial",0.5,IF('CA100 2023 Scores'!$J$17="Not assessed","Under development"))))</f>
        <v>0</v>
      </c>
      <c r="K27" s="120">
        <f>IF('CA100 2023 Scores'!$K$17="y",1,IF('CA100 2023 Scores'!$K$17="N",0,IF('CA100 2023 Scores'!$K$17="Partial",0.5,IF('CA100 2023 Scores'!$K$17="Not assessed","Under development"))))</f>
        <v>1</v>
      </c>
      <c r="L27" s="120">
        <f>IF('CA100 2023 Scores'!$L$17="y",1,IF('CA100 2023 Scores'!$L$17="N",0,IF('CA100 2023 Scores'!$L$17="Partial",0.5,IF('CA100 2023 Scores'!$L$17="Not assessed","Under development"))))</f>
        <v>1</v>
      </c>
      <c r="M27" s="120">
        <f>IF('CA100 2023 Scores'!$M$17="y",1,IF('CA100 2023 Scores'!$M$17="N",0,IF('CA100 2023 Scores'!$M$17="Partial",0.5,IF('CA100 2023 Scores'!$M$17="Not assessed","Under development"))))</f>
        <v>0</v>
      </c>
      <c r="N27" s="120">
        <f>IF('CA100 2023 Scores'!$N$17="y",1,IF('CA100 2023 Scores'!$N$17="N",0,IF('CA100 2023 Scores'!$N$17="Partial",0.5,IF('CA100 2023 Scores'!$N$17="Not assessed","Under development"))))</f>
        <v>1</v>
      </c>
      <c r="O27" s="71"/>
      <c r="R27" s="50"/>
    </row>
    <row r="28" spans="2:18" s="40" customFormat="1" ht="15" customHeight="1" outlineLevel="1">
      <c r="B28" s="145">
        <v>3.2</v>
      </c>
      <c r="C28" s="91" t="s">
        <v>403</v>
      </c>
      <c r="D28" s="119" t="str">
        <f>IF(ISBLANK(VLOOKUP(B28, [1]BP!$A$8:$E$191, 5, FALSE)), "", VLOOKUP(B28, [1]BP!$A$8:$E$191, 5, FALSE))</f>
        <v/>
      </c>
      <c r="E28" s="120">
        <f t="shared" ref="E28:N28" si="7">AVERAGE(E29:E33)</f>
        <v>1</v>
      </c>
      <c r="F28" s="120">
        <f t="shared" si="7"/>
        <v>0.66666666666666663</v>
      </c>
      <c r="G28" s="120">
        <f t="shared" si="7"/>
        <v>0.5</v>
      </c>
      <c r="H28" s="120">
        <f t="shared" si="7"/>
        <v>0.66666666666666663</v>
      </c>
      <c r="I28" s="120">
        <f t="shared" si="7"/>
        <v>0</v>
      </c>
      <c r="J28" s="120">
        <f t="shared" si="7"/>
        <v>0</v>
      </c>
      <c r="K28" s="120">
        <f t="shared" si="7"/>
        <v>0.33333333333333331</v>
      </c>
      <c r="L28" s="120">
        <f t="shared" si="7"/>
        <v>0.66666666666666663</v>
      </c>
      <c r="M28" s="120">
        <f t="shared" si="7"/>
        <v>0</v>
      </c>
      <c r="N28" s="120">
        <f t="shared" si="7"/>
        <v>0.66666666666666663</v>
      </c>
      <c r="O28" s="71"/>
      <c r="R28" s="50"/>
    </row>
    <row r="29" spans="2:18" s="40" customFormat="1" ht="15" customHeight="1" outlineLevel="2">
      <c r="B29" s="145" t="str">
        <f t="shared" ref="B29:B31" si="8">LEFT(C29,FIND(":",C29)-1)</f>
        <v>3.2.a</v>
      </c>
      <c r="C29" s="93" t="str">
        <f>'CA100 2023 Scores'!C19</f>
        <v>3.2.a: Coverage of Scope 1 and Scope 2 GHG emissions</v>
      </c>
      <c r="D29" s="119" t="str">
        <f>IF(ISBLANK(VLOOKUP(B29, [1]BP!$A$8:$E$191, 5, FALSE)), "", VLOOKUP(B29, [1]BP!$A$8:$E$191, 5, FALSE))</f>
        <v>Disclosure</v>
      </c>
      <c r="E29" s="120">
        <f>IF('CA100 2023 Scores'!$E$19="y",1,IF('CA100 2023 Scores'!$E$19="N",0,IF('CA100 2023 Scores'!$E$19="Partial",0.5,IF('CA100 2023 Scores'!$E$19="Not assessed","Under development"))))</f>
        <v>1</v>
      </c>
      <c r="F29" s="120">
        <f>IF('CA100 2023 Scores'!$F$19="y",1,IF('CA100 2023 Scores'!$F$19="N",0,IF('CA100 2023 Scores'!$F$19="Partial",0.5,IF('CA100 2023 Scores'!$F$19="Not assessed","Under development"))))</f>
        <v>1</v>
      </c>
      <c r="G29" s="120">
        <f>IF('CA100 2023 Scores'!$G$19="y",1,IF('CA100 2023 Scores'!$G$19="N",0,IF('CA100 2023 Scores'!$G$19="Partial",0.5,IF('CA100 2023 Scores'!$G$19="Not assessed","Under development"))))</f>
        <v>1</v>
      </c>
      <c r="H29" s="120">
        <f>IF('CA100 2023 Scores'!$H$19="y",1,IF('CA100 2023 Scores'!$H$19="N",0,IF('CA100 2023 Scores'!$H$19="Partial",0.5,IF('CA100 2023 Scores'!$H$19="Not assessed","Under development"))))</f>
        <v>1</v>
      </c>
      <c r="I29" s="120">
        <f>IF('CA100 2023 Scores'!$I$19="y",1,IF('CA100 2023 Scores'!$I$19="N",0,IF('CA100 2023 Scores'!$I$19="Partial",0.5,IF('CA100 2023 Scores'!$I$19="Not assessed","Under development"))))</f>
        <v>0</v>
      </c>
      <c r="J29" s="120">
        <f>IF('CA100 2023 Scores'!$J$19="y",1,IF('CA100 2023 Scores'!$J$19="N",0,IF('CA100 2023 Scores'!$J$19="Partial",0.5,IF('CA100 2023 Scores'!$J$19="Not assessed","Under development"))))</f>
        <v>0</v>
      </c>
      <c r="K29" s="120">
        <f>IF('CA100 2023 Scores'!$K$19="y",1,IF('CA100 2023 Scores'!$K$19="N",0,IF('CA100 2023 Scores'!$K$19="Partial",0.5,IF('CA100 2023 Scores'!$K$19="Not assessed","Under development"))))</f>
        <v>1</v>
      </c>
      <c r="L29" s="120">
        <f>IF('CA100 2023 Scores'!$L$19="y",1,IF('CA100 2023 Scores'!$L$19="N",0,IF('CA100 2023 Scores'!$L$19="Partial",0.5,IF('CA100 2023 Scores'!$L$19="Not assessed","Under development"))))</f>
        <v>1</v>
      </c>
      <c r="M29" s="120">
        <f>IF('CA100 2023 Scores'!$M$19="y",1,IF('CA100 2023 Scores'!$M$19="N",0,IF('CA100 2023 Scores'!$M$19="Partial",0.5,IF('CA100 2023 Scores'!$M$19="Not assessed","Under development"))))</f>
        <v>0</v>
      </c>
      <c r="N29" s="120">
        <f>IF('CA100 2023 Scores'!$N$19="y",1,IF('CA100 2023 Scores'!$N$19="N",0,IF('CA100 2023 Scores'!$N$19="Partial",0.5,IF('CA100 2023 Scores'!$N$19="Not assessed","Under development"))))</f>
        <v>1</v>
      </c>
      <c r="O29" s="71"/>
      <c r="R29" s="50"/>
    </row>
    <row r="30" spans="2:18" s="40" customFormat="1" ht="15" customHeight="1" outlineLevel="2">
      <c r="B30" s="145" t="str">
        <f>LEFT(C30,FIND(" ",C30)-1)</f>
        <v>3.i.a</v>
      </c>
      <c r="C30" s="126" t="s">
        <v>404</v>
      </c>
      <c r="D30" s="127" t="s">
        <v>45</v>
      </c>
      <c r="E30" s="120" t="str">
        <f>IF('NZS O&amp;G Summary'!$F$15="Y",1,IF('NZS O&amp;G Summary'!$F$15="n",0,IF('NZS O&amp;G Summary'!$F$15="Under development","Under development",IF('NZS O&amp;G Summary'!$F$15="Not applicable", "Not Applicable"))))</f>
        <v>Under development</v>
      </c>
      <c r="F30" s="120" t="str">
        <f>IF('NZS O&amp;G Summary'!$G$15="y",1,IF('NZS O&amp;G Summary'!$G$15="n",0,IF('NZS O&amp;G Summary'!$G$15="Under development","Under development",IF('NZS O&amp;G Summary'!$G$15="Not applicable", "Not Applicable"))))</f>
        <v>Under development</v>
      </c>
      <c r="G30" s="120" t="str">
        <f>IF('NZS O&amp;G Summary'!$H$15="y",1,IF('NZS O&amp;G Summary'!$H$15="n",0,IF('NZS O&amp;G Summary'!$H$15="Under development","Under development",IF('NZS O&amp;G Summary'!$H$15="Not applicable", "Not Applicable"))))</f>
        <v>Under development</v>
      </c>
      <c r="H30" s="120" t="str">
        <f>IF('NZS O&amp;G Summary'!$I$15="y",1,IF('NZS O&amp;G Summary'!$I$15="N",0,IF('NZS O&amp;G Summary'!$I$15="Under development","Under development",IF('NZS O&amp;G Summary'!$I$15="Not applicable", "Not Applicable"))))</f>
        <v>Under development</v>
      </c>
      <c r="I30" s="120" t="str">
        <f>IF('NZS O&amp;G Summary'!$J$15="Y",1,IF('NZS O&amp;G Summary'!$J$15="n",0,IF('NZS O&amp;G Summary'!$J$15="Under development","Under development",IF('NZS O&amp;G Summary'!$J$15="Not applicable", "Not Applicable"))))</f>
        <v>Under development</v>
      </c>
      <c r="J30" s="120" t="str">
        <f>IF('NZS O&amp;G Summary'!$K$15="Y",1,IF('NZS O&amp;G Summary'!$K$15="N",0,IF('NZS O&amp;G Summary'!$K$15="Under development","Under development",IF('NZS O&amp;G Summary'!$K$15="Not applicable", "Not Applicable"))))</f>
        <v>Under development</v>
      </c>
      <c r="K30" s="120" t="str">
        <f>IF('NZS O&amp;G Summary'!$L$15="Y",1,IF('NZS O&amp;G Summary'!$L$15="n",0,IF('NZS O&amp;G Summary'!$L$15="Under development","Under development",IF('NZS O&amp;G Summary'!$L$15="Not applicable", "Not Applicable"))))</f>
        <v>Under development</v>
      </c>
      <c r="L30" s="120" t="str">
        <f>IF('NZS O&amp;G Summary'!$M$15="Y",1,IF('NZS O&amp;G Summary'!$M$15="N",0,IF('NZS O&amp;G Summary'!$M$15="Under development","Under development",IF('NZS O&amp;G Summary'!$M$15="Not applicable", "Not Applicable"))))</f>
        <v>Under development</v>
      </c>
      <c r="M30" s="120" t="str">
        <f>IF('NZS O&amp;G Summary'!$N$15="Y",1,IF('NZS O&amp;G Summary'!$N$15="n",0,IF('NZS O&amp;G Summary'!$N$15="Under development","Under development",IF('NZS O&amp;G Summary'!$N$15="Not applicable", "Not Applicable"))))</f>
        <v>Under development</v>
      </c>
      <c r="N30" s="120" t="str">
        <f>IF('NZS O&amp;G Summary'!$O$15="Y",1,IF('NZS O&amp;G Summary'!$O$15="N",0,IF('NZS O&amp;G Summary'!$O$15="Under development","Under development",IF('NZS O&amp;G Summary'!$O$15="Not applicable", "Not Applicable"))))</f>
        <v>Under development</v>
      </c>
      <c r="O30" s="71"/>
      <c r="R30" s="50"/>
    </row>
    <row r="31" spans="2:18" s="40" customFormat="1" ht="15" customHeight="1" outlineLevel="2">
      <c r="B31" s="145" t="str">
        <f t="shared" si="8"/>
        <v>3.2.b</v>
      </c>
      <c r="C31" s="93" t="s">
        <v>405</v>
      </c>
      <c r="D31" s="119" t="str">
        <f>IF(ISBLANK(VLOOKUP(B31, [1]BP!$A$8:$E$191, 5, FALSE)), "", VLOOKUP(B31, [1]BP!$A$8:$E$191, 5, FALSE))</f>
        <v>Disclosure</v>
      </c>
      <c r="E31" s="120">
        <f>IF('CA100 2023 Scores'!$E$20="y",1,IF('CA100 2023 Scores'!$E$20="N",0,IF('CA100 2023 Scores'!$E$20="Partial",0.5,IF('CA100 2023 Scores'!$E$20="Not assessed","Under development"))))</f>
        <v>1</v>
      </c>
      <c r="F31" s="120">
        <f>IF('CA100 2023 Scores'!$F$20="y",1,IF('CA100 2023 Scores'!$F$20="N",0,IF('CA100 2023 Scores'!$F$20="Partial",0.5,IF('CA100 2023 Scores'!$F$20="Not assessed","Under development"))))</f>
        <v>1</v>
      </c>
      <c r="G31" s="120">
        <f>IF('CA100 2023 Scores'!$G$20="y",1,IF('CA100 2023 Scores'!$G$20="N",0,IF('CA100 2023 Scores'!$G$20="Partial",0.5,IF('CA100 2023 Scores'!$G$20="Not assessed","Under development"))))</f>
        <v>0</v>
      </c>
      <c r="H31" s="120">
        <f>IF('CA100 2023 Scores'!$H$20="y",1,IF('CA100 2023 Scores'!$H$20="N",0,IF('CA100 2023 Scores'!$H$20="Partial",0.5,IF('CA100 2023 Scores'!$H$20="Not assessed","Under development"))))</f>
        <v>1</v>
      </c>
      <c r="I31" s="120">
        <f>IF('CA100 2023 Scores'!$I$20="y",1,IF('CA100 2023 Scores'!$I$20="N",0,IF('CA100 2023 Scores'!$I$20="Partial",0.5,IF('CA100 2023 Scores'!$I$20="Not assessed","Under development"))))</f>
        <v>0</v>
      </c>
      <c r="J31" s="120">
        <f>IF('CA100 2023 Scores'!$J$20="y",1,IF('CA100 2023 Scores'!$J$20="N",0,IF('CA100 2023 Scores'!$J$20="Partial",0.5,IF('CA100 2023 Scores'!$J$20="Not assessed","Under development"))))</f>
        <v>0</v>
      </c>
      <c r="K31" s="120">
        <f>IF('CA100 2023 Scores'!$K$20="y",1,IF('CA100 2023 Scores'!$K$20="N",0,IF('CA100 2023 Scores'!$K$20="Partial",0.5,IF('CA100 2023 Scores'!$K$20="Not assessed","Under development"))))</f>
        <v>0</v>
      </c>
      <c r="L31" s="120">
        <f>IF('CA100 2023 Scores'!$L$20="y",1,IF('CA100 2023 Scores'!$L$20="N",0,IF('CA100 2023 Scores'!$L$20="Partial",0.5,IF('CA100 2023 Scores'!$L$20="Not assessed","Under development"))))</f>
        <v>1</v>
      </c>
      <c r="M31" s="120">
        <f>IF('CA100 2023 Scores'!$M$20="y",1,IF('CA100 2023 Scores'!$M$20="N",0,IF('CA100 2023 Scores'!$M$20="Partial",0.5,IF('CA100 2023 Scores'!$M$20="Not assessed","Under development"))))</f>
        <v>0</v>
      </c>
      <c r="N31" s="120">
        <f>IF('CA100 2023 Scores'!$N$20="y",1,IF('CA100 2023 Scores'!$N$20="N",0,IF('CA100 2023 Scores'!$N$20="Partial",0.5,IF('CA100 2023 Scores'!$N$20="Not assessed","Under development"))))</f>
        <v>1</v>
      </c>
      <c r="O31" s="71"/>
      <c r="R31" s="50"/>
    </row>
    <row r="32" spans="2:18" s="40" customFormat="1" ht="15" customHeight="1" outlineLevel="2">
      <c r="B32" s="145" t="str">
        <f t="shared" ref="B32:B33" si="9">LEFT(C32,FIND(" ",C32)-1)</f>
        <v>3.ii.a</v>
      </c>
      <c r="C32" s="126" t="s">
        <v>406</v>
      </c>
      <c r="D32" s="127" t="s">
        <v>44</v>
      </c>
      <c r="E32" s="120">
        <f>IF('NZS O&amp;G Summary'!$F$16="Y",1,IF('NZS O&amp;G Summary'!$F$16="n",0,IF('NZS O&amp;G Summary'!$F$16="Under development","Under development",IF('NZS O&amp;G Summary'!$F$16="Not applicable", "Not Applicable"))))</f>
        <v>1</v>
      </c>
      <c r="F32" s="120">
        <f>IF('NZS O&amp;G Summary'!$G$16="y",1,IF('NZS O&amp;G Summary'!$G$16="n",0,IF('NZS O&amp;G Summary'!$G$16="Under development","Under development",IF('NZS O&amp;G Summary'!$G$16="Not applicable", "Not Applicable"))))</f>
        <v>0</v>
      </c>
      <c r="G32" s="120" t="str">
        <f>IF('NZS O&amp;G Summary'!$H$16="y",1,IF('NZS O&amp;G Summary'!$H$16="n",0,IF('NZS O&amp;G Summary'!$H$16="Under development","Under development",IF('NZS O&amp;G Summary'!$H$16="Not applicable", "Not Applicable"))))</f>
        <v>Not Applicable</v>
      </c>
      <c r="H32" s="120">
        <f>IF('NZS O&amp;G Summary'!$I$16="y",1,IF('NZS O&amp;G Summary'!$I$16="N",0,IF('NZS O&amp;G Summary'!$I$16="Under development","Under development",IF('NZS O&amp;G Summary'!$I$16="Not applicable", "Not Applicable"))))</f>
        <v>0</v>
      </c>
      <c r="I32" s="120">
        <f>IF('NZS O&amp;G Summary'!$J$16="Y",1,IF('NZS O&amp;G Summary'!$J$16="n",0,IF('NZS O&amp;G Summary'!$J$16="Under development","Under development",IF('NZS O&amp;G Summary'!$J$16="Not applicable", "Not Applicable"))))</f>
        <v>0</v>
      </c>
      <c r="J32" s="120" t="str">
        <f>IF('NZS O&amp;G Summary'!$K$16="Y",1,IF('NZS O&amp;G Summary'!$K$16="N",0,IF('NZS O&amp;G Summary'!$K$16="Under development","Under development",IF('NZS O&amp;G Summary'!$K$16="Not applicable", "Not Applicable"))))</f>
        <v>Not Applicable</v>
      </c>
      <c r="K32" s="120">
        <f>IF('NZS O&amp;G Summary'!$L$16="Y",1,IF('NZS O&amp;G Summary'!$L$16="n",0,IF('NZS O&amp;G Summary'!$L$16="Under development","Under development",IF('NZS O&amp;G Summary'!$L$16="Not applicable", "Not Applicable"))))</f>
        <v>0</v>
      </c>
      <c r="L32" s="120">
        <f>IF('NZS O&amp;G Summary'!$M$16="Y",1,IF('NZS O&amp;G Summary'!$M$16="N",0,IF('NZS O&amp;G Summary'!$M$16="Under development","Under development",IF('NZS O&amp;G Summary'!$M$16="Not applicable", "Not Applicable"))))</f>
        <v>0</v>
      </c>
      <c r="M32" s="120" t="str">
        <f>IF('NZS O&amp;G Summary'!$N$16="Y",1,IF('NZS O&amp;G Summary'!$N$16="n",0,IF('NZS O&amp;G Summary'!$N$16="Under development","Under development",IF('NZS O&amp;G Summary'!$N$16="Not applicable", "Not Applicable"))))</f>
        <v>Not Applicable</v>
      </c>
      <c r="N32" s="120">
        <f>IF('NZS O&amp;G Summary'!$O$16="Y",1,IF('NZS O&amp;G Summary'!$O$16="N",0,IF('NZS O&amp;G Summary'!$O$16="Under development","Under development",IF('NZS O&amp;G Summary'!$O$16="Not applicable", "Not Applicable"))))</f>
        <v>0</v>
      </c>
      <c r="O32" s="71" t="s">
        <v>81</v>
      </c>
      <c r="R32" s="50"/>
    </row>
    <row r="33" spans="2:18" s="40" customFormat="1" ht="15" customHeight="1" outlineLevel="2">
      <c r="B33" s="145" t="str">
        <f t="shared" si="9"/>
        <v>3.ii.b</v>
      </c>
      <c r="C33" s="126" t="s">
        <v>407</v>
      </c>
      <c r="D33" s="127" t="s">
        <v>45</v>
      </c>
      <c r="E33" s="120" t="str">
        <f>IF('NZS O&amp;G Summary'!$F$17="Y",1,IF('NZS O&amp;G Summary'!$F$17="n",0,IF('NZS O&amp;G Summary'!$F$17="Under development","Under development",IF('NZS O&amp;G Summary'!$F$17="Not applicable", "Not Applicable"))))</f>
        <v>Under development</v>
      </c>
      <c r="F33" s="120" t="str">
        <f>IF('NZS O&amp;G Summary'!$G$17="y",1,IF('NZS O&amp;G Summary'!$G$17="n",0,IF('NZS O&amp;G Summary'!$G$17="Under development","Under development",IF('NZS O&amp;G Summary'!$G$17="Not applicable", "Not Applicable"))))</f>
        <v>Under development</v>
      </c>
      <c r="G33" s="120" t="str">
        <f>IF('NZS O&amp;G Summary'!$H$17="y",1,IF('NZS O&amp;G Summary'!$H$17="n",0,IF('NZS O&amp;G Summary'!$H$17="Under development","Under development",IF('NZS O&amp;G Summary'!$H$17="Not applicable", "Not Applicable"))))</f>
        <v>Under development</v>
      </c>
      <c r="H33" s="120" t="str">
        <f>IF('NZS O&amp;G Summary'!$I$17="y",1,IF('NZS O&amp;G Summary'!$I$17="N",0,IF('NZS O&amp;G Summary'!$I$17="Under development","Under development",IF('NZS O&amp;G Summary'!$I$17="Not applicable", "Not Applicable"))))</f>
        <v>Under development</v>
      </c>
      <c r="I33" s="120" t="str">
        <f>IF('NZS O&amp;G Summary'!$J$17="Y",1,IF('NZS O&amp;G Summary'!$J$17="n",0,IF('NZS O&amp;G Summary'!$J$17="Under development","Under development",IF('NZS O&amp;G Summary'!$J$17="Not applicable", "Not Applicable"))))</f>
        <v>Under development</v>
      </c>
      <c r="J33" s="120" t="str">
        <f>IF('NZS O&amp;G Summary'!$K$17="Y",1,IF('NZS O&amp;G Summary'!$K$17="N",0,IF('NZS O&amp;G Summary'!$K$17="Under development","Under development",IF('NZS O&amp;G Summary'!$K$17="Not applicable", "Not Applicable"))))</f>
        <v>Under development</v>
      </c>
      <c r="K33" s="120" t="str">
        <f>IF('NZS O&amp;G Summary'!$L$17="Y",1,IF('NZS O&amp;G Summary'!$L$17="n",0,IF('NZS O&amp;G Summary'!$L$17="Under development","Under development",IF('NZS O&amp;G Summary'!$L$17="Not applicable", "Not Applicable"))))</f>
        <v>Under development</v>
      </c>
      <c r="L33" s="120" t="str">
        <f>IF('NZS O&amp;G Summary'!$M$17="Y",1,IF('NZS O&amp;G Summary'!$M$17="N",0,IF('NZS O&amp;G Summary'!$M$17="Under development","Under development",IF('NZS O&amp;G Summary'!$M$17="Not applicable", "Not Applicable"))))</f>
        <v>Under development</v>
      </c>
      <c r="M33" s="120" t="str">
        <f>IF('NZS O&amp;G Summary'!$N$17="Y",1,IF('NZS O&amp;G Summary'!$N$17="n",0,IF('NZS O&amp;G Summary'!$N$17="Under development","Under development",IF('NZS O&amp;G Summary'!$N$17="Not applicable", "Not Applicable"))))</f>
        <v>Under development</v>
      </c>
      <c r="N33" s="120" t="str">
        <f>IF('NZS O&amp;G Summary'!$O$17="Y",1,IF('NZS O&amp;G Summary'!$O$17="N",0,IF('NZS O&amp;G Summary'!$O$17="Under development","Under development",IF('NZS O&amp;G Summary'!$O$17="Not applicable", "Not Applicable"))))</f>
        <v>Under development</v>
      </c>
      <c r="O33" s="122" t="s">
        <v>81</v>
      </c>
      <c r="R33" s="50"/>
    </row>
    <row r="34" spans="2:18" s="40" customFormat="1" ht="15" customHeight="1" outlineLevel="1">
      <c r="B34" s="145">
        <v>3.3</v>
      </c>
      <c r="C34" s="91" t="str">
        <f>'CA100 2023 Scores'!C21</f>
        <v xml:space="preserve">3.3: Paris Agreement alignment of target carbon intensity </v>
      </c>
      <c r="D34" s="119" t="str">
        <f>IF(ISBLANK(VLOOKUP(B34, [1]BP!$A$8:$E$191, 5, FALSE)), "", VLOOKUP(B34, [1]BP!$A$8:$E$191, 5, FALSE))</f>
        <v>Alignment</v>
      </c>
      <c r="E34" s="120">
        <f>IF('CA100 2023 Scores'!$E$21="y",1,IF('CA100 2023 Scores'!$E$21="N",0,IF('CA100 2023 Scores'!$E$21="Partial",0.5,IF('CA100 2023 Scores'!$E$21="Not assessed","Under development"))))</f>
        <v>0</v>
      </c>
      <c r="F34" s="120">
        <f>IF('CA100 2023 Scores'!$F$21="y",1,IF('CA100 2023 Scores'!$F$21="N",0,IF('CA100 2023 Scores'!$F$21="Partial",0.5,IF('CA100 2023 Scores'!$F$21="Not assessed","Under development"))))</f>
        <v>0</v>
      </c>
      <c r="G34" s="120">
        <f>IF('CA100 2023 Scores'!$G$21="y",1,IF('CA100 2023 Scores'!$G$21="N",0,IF('CA100 2023 Scores'!$G$21="Partial",0.5,IF('CA100 2023 Scores'!$G$21="Not assessed","Under development"))))</f>
        <v>0</v>
      </c>
      <c r="H34" s="120">
        <f>IF('CA100 2023 Scores'!$H$21="y",1,IF('CA100 2023 Scores'!$H$21="N",0,IF('CA100 2023 Scores'!$H$21="Partial",0.5,IF('CA100 2023 Scores'!$H$21="Not assessed","Under development"))))</f>
        <v>0</v>
      </c>
      <c r="I34" s="120">
        <f>IF('CA100 2023 Scores'!$I$21="y",1,IF('CA100 2023 Scores'!$I$21="N",0,IF('CA100 2023 Scores'!$I$21="Partial",0.5,IF('CA100 2023 Scores'!$I$21="Not assessed","Under development"))))</f>
        <v>0</v>
      </c>
      <c r="J34" s="120">
        <f>IF('CA100 2023 Scores'!$J$21="y",1,IF('CA100 2023 Scores'!$J$21="N",0,IF('CA100 2023 Scores'!$J$21="Partial",0.5,IF('CA100 2023 Scores'!$J$21="Not assessed","Under development"))))</f>
        <v>0</v>
      </c>
      <c r="K34" s="120">
        <f>IF('CA100 2023 Scores'!$K$21="y",1,IF('CA100 2023 Scores'!$K$21="N",0,IF('CA100 2023 Scores'!$K$21="Partial",0.5,IF('CA100 2023 Scores'!$K$21="Not assessed","Under development"))))</f>
        <v>0</v>
      </c>
      <c r="L34" s="120">
        <f>IF('CA100 2023 Scores'!$L$21="y",1,IF('CA100 2023 Scores'!$L$21="N",0,IF('CA100 2023 Scores'!$L$21="Partial",0.5,IF('CA100 2023 Scores'!$L$21="Not assessed","Under development"))))</f>
        <v>0</v>
      </c>
      <c r="M34" s="120">
        <f>IF('CA100 2023 Scores'!$M$21="y",1,IF('CA100 2023 Scores'!$M$21="N",0,IF('CA100 2023 Scores'!$M$21="Partial",0.5,IF('CA100 2023 Scores'!$M$21="Not assessed","Under development"))))</f>
        <v>0</v>
      </c>
      <c r="N34" s="120">
        <f>IF('CA100 2023 Scores'!$N$21="y",1,IF('CA100 2023 Scores'!$N$21="N",0,IF('CA100 2023 Scores'!$N$21="Partial",0.5,IF('CA100 2023 Scores'!$N$21="Not assessed","Under development"))))</f>
        <v>0</v>
      </c>
      <c r="O34" s="71"/>
      <c r="R34" s="50"/>
    </row>
    <row r="35" spans="2:18" s="40" customFormat="1" ht="15" customHeight="1" outlineLevel="1">
      <c r="B35" s="145">
        <v>3.4</v>
      </c>
      <c r="C35" s="91" t="str">
        <f>'CA100 2023 Scores'!C22</f>
        <v>3.4: Conversion of intensity target to projected absolute emissions reductions</v>
      </c>
      <c r="D35" s="119" t="s">
        <v>45</v>
      </c>
      <c r="E35" s="120" t="str">
        <f>IF('CA100 2023 Scores'!$E$22="y",1,IF('CA100 2023 Scores'!$E$22="N",0,IF('CA100 2023 Scores'!$E$22="Partial",0.5,IF('CA100 2023 Scores'!$E$22="Not assessed","Under development"))))</f>
        <v>Under development</v>
      </c>
      <c r="F35" s="120" t="str">
        <f>IF('CA100 2023 Scores'!$F$22="y",1,IF('CA100 2023 Scores'!$F$22="N",0,IF('CA100 2023 Scores'!$F$22="Partial",0.5,IF('CA100 2023 Scores'!$F$22="Not assessed","Under development"))))</f>
        <v>Under development</v>
      </c>
      <c r="G35" s="120" t="str">
        <f>IF('CA100 2023 Scores'!$G$22="y",1,IF('CA100 2023 Scores'!$G$22="N",0,IF('CA100 2023 Scores'!$G$22="Partial",0.5,IF('CA100 2023 Scores'!$G$22="Not assessed","Under development"))))</f>
        <v>Under development</v>
      </c>
      <c r="H35" s="120" t="str">
        <f>IF('CA100 2023 Scores'!$H$22="y",1,IF('CA100 2023 Scores'!$H$22="N",0,IF('CA100 2023 Scores'!$H$22="Partial",0.5,IF('CA100 2023 Scores'!$H$22="Not assessed","Under development"))))</f>
        <v>Under development</v>
      </c>
      <c r="I35" s="120" t="str">
        <f>IF('CA100 2023 Scores'!$I$22="y",1,IF('CA100 2023 Scores'!$I$22="N",0,IF('CA100 2023 Scores'!$I$22="Partial",0.5,IF('CA100 2023 Scores'!$I$22="Not assessed","Under development"))))</f>
        <v>Under development</v>
      </c>
      <c r="J35" s="120" t="str">
        <f>IF('CA100 2023 Scores'!$J$22="y",1,IF('CA100 2023 Scores'!$J$22="N",0,IF('CA100 2023 Scores'!$J$22="Partial",0.5,IF('CA100 2023 Scores'!$J$22="Not assessed","Under development"))))</f>
        <v>Under development</v>
      </c>
      <c r="K35" s="120" t="str">
        <f>IF('CA100 2023 Scores'!$K$22="y",1,IF('CA100 2023 Scores'!$K$22="N",0,IF('CA100 2023 Scores'!$K$22="Partial",0.5,IF('CA100 2023 Scores'!$K$22="Not assessed","Under development"))))</f>
        <v>Under development</v>
      </c>
      <c r="L35" s="120" t="str">
        <f>IF('CA100 2023 Scores'!$L$22="y",1,IF('CA100 2023 Scores'!$L$22="N",0,IF('CA100 2023 Scores'!$L$22="Partial",0.5,IF('CA100 2023 Scores'!$L$22="Not assessed","Under development"))))</f>
        <v>Under development</v>
      </c>
      <c r="M35" s="120" t="str">
        <f>IF('CA100 2023 Scores'!$M$22="y",1,IF('CA100 2023 Scores'!$M$22="N",0,IF('CA100 2023 Scores'!$M$22="Partial",0.5,IF('CA100 2023 Scores'!$M$22="Not assessed","Under development"))))</f>
        <v>Under development</v>
      </c>
      <c r="N35" s="120" t="str">
        <f>IF('CA100 2023 Scores'!$N$22="y",1,IF('CA100 2023 Scores'!$N$22="N",0,IF('CA100 2023 Scores'!$N$22="Partial",0.5,IF('CA100 2023 Scores'!$N$22="Not assessed","Under development"))))</f>
        <v>Under development</v>
      </c>
      <c r="O35" s="71"/>
      <c r="R35" s="50"/>
    </row>
    <row r="36" spans="2:18" s="40" customFormat="1" ht="15" customHeight="1" outlineLevel="1">
      <c r="B36" s="145"/>
      <c r="C36" s="31"/>
      <c r="D36" s="108"/>
      <c r="E36" s="120"/>
      <c r="F36" s="120"/>
      <c r="G36" s="120"/>
      <c r="H36" s="120"/>
      <c r="I36" s="120"/>
      <c r="J36" s="120"/>
      <c r="K36" s="120"/>
      <c r="L36" s="120"/>
      <c r="M36" s="120"/>
      <c r="N36" s="120"/>
      <c r="O36" s="71"/>
      <c r="R36" s="50"/>
    </row>
    <row r="37" spans="2:18" s="40" customFormat="1" ht="15" customHeight="1">
      <c r="B37" s="150"/>
      <c r="C37" s="73"/>
      <c r="D37" s="73"/>
      <c r="E37" s="74"/>
      <c r="F37" s="74"/>
      <c r="G37" s="74"/>
      <c r="H37" s="74"/>
      <c r="I37" s="74"/>
      <c r="J37" s="74"/>
      <c r="K37" s="74"/>
      <c r="L37" s="74"/>
      <c r="M37" s="74"/>
      <c r="N37" s="74"/>
      <c r="O37" s="129"/>
      <c r="R37" s="50"/>
    </row>
    <row r="38" spans="2:18" s="40" customFormat="1" ht="15" customHeight="1">
      <c r="B38" s="151" t="s">
        <v>408</v>
      </c>
      <c r="C38" s="91" t="s">
        <v>409</v>
      </c>
      <c r="D38" s="130"/>
      <c r="E38" s="68">
        <f>AVERAGE(E40,E41,E44)</f>
        <v>0.66666666666666663</v>
      </c>
      <c r="F38" s="68">
        <f t="shared" ref="F38:N38" si="10">AVERAGE(F40,F41,F44)</f>
        <v>0.33333333333333331</v>
      </c>
      <c r="G38" s="68">
        <f t="shared" si="10"/>
        <v>0</v>
      </c>
      <c r="H38" s="68">
        <f t="shared" si="10"/>
        <v>0.5</v>
      </c>
      <c r="I38" s="68">
        <f t="shared" si="10"/>
        <v>0.33333333333333331</v>
      </c>
      <c r="J38" s="68">
        <f t="shared" si="10"/>
        <v>0.5</v>
      </c>
      <c r="K38" s="68">
        <f t="shared" si="10"/>
        <v>0.5</v>
      </c>
      <c r="L38" s="68">
        <f t="shared" si="10"/>
        <v>0.66666666666666663</v>
      </c>
      <c r="M38" s="68">
        <f t="shared" si="10"/>
        <v>0</v>
      </c>
      <c r="N38" s="68">
        <f t="shared" si="10"/>
        <v>0.66666666666666663</v>
      </c>
      <c r="O38" s="71" t="s">
        <v>81</v>
      </c>
      <c r="R38" s="50"/>
    </row>
    <row r="39" spans="2:18" s="40" customFormat="1" ht="15" customHeight="1">
      <c r="B39" s="148"/>
      <c r="C39" s="50"/>
      <c r="D39" s="131"/>
      <c r="E39" s="94"/>
      <c r="F39" s="94"/>
      <c r="G39" s="94"/>
      <c r="H39" s="94"/>
      <c r="I39" s="94"/>
      <c r="J39" s="94"/>
      <c r="K39" s="94"/>
      <c r="L39" s="94"/>
      <c r="M39" s="94"/>
      <c r="N39" s="94"/>
      <c r="O39" s="122"/>
      <c r="R39" s="50"/>
    </row>
    <row r="40" spans="2:18" s="40" customFormat="1" ht="15" customHeight="1" outlineLevel="1">
      <c r="B40" s="145">
        <v>4.0999999999999996</v>
      </c>
      <c r="C40" s="91" t="str">
        <f>'CA100 2023 Scores'!C24</f>
        <v>4.1: Short-term (up to 2026) GHG Reduction Target(s)</v>
      </c>
      <c r="D40" s="119" t="str">
        <f>IF(ISBLANK(VLOOKUP(B40, [1]BP!$A$8:$E$191, 5, FALSE)), "", VLOOKUP(B40, [1]BP!$A$8:$E$191, 5, FALSE))</f>
        <v>Disclosure</v>
      </c>
      <c r="E40" s="120">
        <f>IF('CA100 2023 Scores'!$E$24="y",1,IF('CA100 2023 Scores'!$E$24="N",0,IF('CA100 2023 Scores'!$E$24="Partial",0.5,IF('CA100 2023 Scores'!$E$24="Not assessed","Under development"))))</f>
        <v>1</v>
      </c>
      <c r="F40" s="120">
        <f>IF('CA100 2023 Scores'!$F$24="y",1,IF('CA100 2023 Scores'!$F$24="N",0,IF('CA100 2023 Scores'!$F$24="Partial",0.5,IF('CA100 2023 Scores'!$F$24="Not assessed","Under development"))))</f>
        <v>1</v>
      </c>
      <c r="G40" s="120">
        <f>IF('CA100 2023 Scores'!$G$24="y",1,IF('CA100 2023 Scores'!$G$24="N",0,IF('CA100 2023 Scores'!$G$24="Partial",0.5,IF('CA100 2023 Scores'!$G$24="Not assessed","Under development"))))</f>
        <v>0</v>
      </c>
      <c r="H40" s="120">
        <f>IF('CA100 2023 Scores'!$H$24="y",1,IF('CA100 2023 Scores'!$H$24="N",0,IF('CA100 2023 Scores'!$H$24="Partial",0.5,IF('CA100 2023 Scores'!$H$24="Not assessed","Under development"))))</f>
        <v>1</v>
      </c>
      <c r="I40" s="120">
        <f>IF('CA100 2023 Scores'!$I$24="y",1,IF('CA100 2023 Scores'!$I$24="N",0,IF('CA100 2023 Scores'!$I$24="Partial",0.5,IF('CA100 2023 Scores'!$I$24="Not assessed","Under development"))))</f>
        <v>1</v>
      </c>
      <c r="J40" s="120">
        <f>IF('CA100 2023 Scores'!$J$24="y",1,IF('CA100 2023 Scores'!$J$24="N",0,IF('CA100 2023 Scores'!$J$24="Partial",0.5,IF('CA100 2023 Scores'!$J$24="Not assessed","Under development"))))</f>
        <v>1</v>
      </c>
      <c r="K40" s="120">
        <f>IF('CA100 2023 Scores'!$K$24="y",1,IF('CA100 2023 Scores'!$K$24="N",0,IF('CA100 2023 Scores'!$K$24="Partial",0.5,IF('CA100 2023 Scores'!$K$24="Not assessed","Under development"))))</f>
        <v>1</v>
      </c>
      <c r="L40" s="120">
        <f>IF('CA100 2023 Scores'!$L$24="y",1,IF('CA100 2023 Scores'!$L$24="N",0,IF('CA100 2023 Scores'!$L$24="Partial",0.5,IF('CA100 2023 Scores'!$L$24="Not assessed","Under development"))))</f>
        <v>1</v>
      </c>
      <c r="M40" s="120">
        <f>IF('CA100 2023 Scores'!$M$24="y",1,IF('CA100 2023 Scores'!$M$24="N",0,IF('CA100 2023 Scores'!$M$24="Partial",0.5,IF('CA100 2023 Scores'!$M$24="Not assessed","Under development"))))</f>
        <v>0</v>
      </c>
      <c r="N40" s="120">
        <f>IF('CA100 2023 Scores'!$N$24="y",1,IF('CA100 2023 Scores'!$N$24="N",0,IF('CA100 2023 Scores'!$N$24="Partial",0.5,IF('CA100 2023 Scores'!$N$24="Not assessed","Under development"))))</f>
        <v>1</v>
      </c>
      <c r="O40" s="122"/>
      <c r="R40" s="50"/>
    </row>
    <row r="41" spans="2:18" s="40" customFormat="1" ht="15" customHeight="1" outlineLevel="1">
      <c r="B41" s="145">
        <v>4.2</v>
      </c>
      <c r="C41" s="91" t="str">
        <f>'CA100 2023 Scores'!C25</f>
        <v>4.2: Short-term (up to 2026) GHG Reduction Target(s) emissions coverage</v>
      </c>
      <c r="D41" s="119" t="str">
        <f>IF(ISBLANK(VLOOKUP(B41, [1]BP!$A$8:$E$191, 5, FALSE)), "", VLOOKUP(B41, [1]BP!$A$8:$E$191, 5, FALSE))</f>
        <v/>
      </c>
      <c r="E41" s="120">
        <f>AVERAGE(E42:E43)</f>
        <v>1</v>
      </c>
      <c r="F41" s="120">
        <f t="shared" ref="F41:N41" si="11">AVERAGE(F42:F43)</f>
        <v>0</v>
      </c>
      <c r="G41" s="120">
        <f t="shared" si="11"/>
        <v>0</v>
      </c>
      <c r="H41" s="120">
        <f t="shared" si="11"/>
        <v>0.5</v>
      </c>
      <c r="I41" s="120">
        <f t="shared" si="11"/>
        <v>0</v>
      </c>
      <c r="J41" s="120">
        <f t="shared" si="11"/>
        <v>0.5</v>
      </c>
      <c r="K41" s="120">
        <f t="shared" si="11"/>
        <v>0.5</v>
      </c>
      <c r="L41" s="120">
        <f t="shared" si="11"/>
        <v>1</v>
      </c>
      <c r="M41" s="120">
        <f t="shared" si="11"/>
        <v>0</v>
      </c>
      <c r="N41" s="120">
        <f t="shared" si="11"/>
        <v>1</v>
      </c>
      <c r="O41" s="122"/>
      <c r="R41" s="50"/>
    </row>
    <row r="42" spans="2:18" s="40" customFormat="1" ht="15" customHeight="1" outlineLevel="2">
      <c r="B42" s="145" t="str">
        <f t="shared" ref="B42:B43" si="12">LEFT(C42,FIND(":",C42)-1)</f>
        <v>4.2.a</v>
      </c>
      <c r="C42" s="93" t="str">
        <f>'CA100 2023 Scores'!C26</f>
        <v>4.2.a: Coverage of Scope 1 and Scope 2 GHG emissions</v>
      </c>
      <c r="D42" s="119" t="str">
        <f>IF(ISBLANK(VLOOKUP(B42, [1]BP!$A$8:$E$191, 5, FALSE)), "", VLOOKUP(B42, [1]BP!$A$8:$E$191, 5, FALSE))</f>
        <v>Disclosure</v>
      </c>
      <c r="E42" s="120">
        <f>IF('CA100 2023 Scores'!$E$26="y",1,IF('CA100 2023 Scores'!$E$26="N",0,IF('CA100 2023 Scores'!$E$26="Partial",0.5,IF('CA100 2023 Scores'!$E$26="Not assessed","Under development"))))</f>
        <v>1</v>
      </c>
      <c r="F42" s="120">
        <f>IF('CA100 2023 Scores'!$F$26="y",1,IF('CA100 2023 Scores'!$F$26="N",0,IF('CA100 2023 Scores'!$F$26="Partial",0.5,IF('CA100 2023 Scores'!$F$26="Not assessed","Under development"))))</f>
        <v>0</v>
      </c>
      <c r="G42" s="120">
        <f>IF('CA100 2023 Scores'!$G$26="y",1,IF('CA100 2023 Scores'!$G$26="N",0,IF('CA100 2023 Scores'!$G$26="Partial",0.5,IF('CA100 2023 Scores'!$G$26="Not assessed","Under development"))))</f>
        <v>0</v>
      </c>
      <c r="H42" s="120">
        <f>IF('CA100 2023 Scores'!$H$26="y",1,IF('CA100 2023 Scores'!$H$26="N",0,IF('CA100 2023 Scores'!$H$26="Partial",0.5,IF('CA100 2023 Scores'!$H$26="Not assessed","Under development"))))</f>
        <v>1</v>
      </c>
      <c r="I42" s="120">
        <f>IF('CA100 2023 Scores'!$I$26="y",1,IF('CA100 2023 Scores'!$I$26="N",0,IF('CA100 2023 Scores'!$I$26="Partial",0.5,IF('CA100 2023 Scores'!$I$26="Not assessed","Under development"))))</f>
        <v>0</v>
      </c>
      <c r="J42" s="120">
        <f>IF('CA100 2023 Scores'!$J$26="y",1,IF('CA100 2023 Scores'!$J$26="N",0,IF('CA100 2023 Scores'!$J$26="Partial",0.5,IF('CA100 2023 Scores'!$J$26="Not assessed","Under development"))))</f>
        <v>1</v>
      </c>
      <c r="K42" s="120">
        <f>IF('CA100 2023 Scores'!$K$26="y",1,IF('CA100 2023 Scores'!$K$26="N",0,IF('CA100 2023 Scores'!$K$26="Partial",0.5,IF('CA100 2023 Scores'!$K$26="Not assessed","Under development"))))</f>
        <v>1</v>
      </c>
      <c r="L42" s="120">
        <f>IF('CA100 2023 Scores'!$L$26="y",1,IF('CA100 2023 Scores'!$L$26="N",0,IF('CA100 2023 Scores'!$L$26="Partial",0.5,IF('CA100 2023 Scores'!$L$26="Not assessed","Under development"))))</f>
        <v>1</v>
      </c>
      <c r="M42" s="120">
        <f>IF('CA100 2023 Scores'!$M$26="y",1,IF('CA100 2023 Scores'!$M$26="N",0,IF('CA100 2023 Scores'!$M$26="Partial",0.5,IF('CA100 2023 Scores'!$M$26="Not assessed","Under development"))))</f>
        <v>0</v>
      </c>
      <c r="N42" s="120">
        <f>IF('CA100 2023 Scores'!$N$26="y",1,IF('CA100 2023 Scores'!$N$26="N",0,IF('CA100 2023 Scores'!$N$26="Partial",0.5,IF('CA100 2023 Scores'!$N$26="Not assessed","Under development"))))</f>
        <v>1</v>
      </c>
      <c r="O42" s="122" t="s">
        <v>81</v>
      </c>
      <c r="R42" s="50"/>
    </row>
    <row r="43" spans="2:18" s="40" customFormat="1" ht="15" customHeight="1" outlineLevel="2">
      <c r="B43" s="145" t="str">
        <f t="shared" si="12"/>
        <v>4.2.b</v>
      </c>
      <c r="C43" s="93" t="str">
        <f>'CA100 2023 Scores'!C27</f>
        <v>4.2.b: Coverage of Scope 3 GHG categories</v>
      </c>
      <c r="D43" s="119" t="str">
        <f>IF(ISBLANK(VLOOKUP(B43, [1]BP!$A$8:$E$191, 5, FALSE)), "", VLOOKUP(B43, [1]BP!$A$8:$E$191, 5, FALSE))</f>
        <v>Disclosure</v>
      </c>
      <c r="E43" s="120">
        <f>IF('CA100 2023 Scores'!$E$27="y",1,IF('CA100 2023 Scores'!$E$27="N",0,IF('CA100 2023 Scores'!$E$27="Partial",0.5,IF('CA100 2023 Scores'!$E$27="Not assessed","Under development"))))</f>
        <v>1</v>
      </c>
      <c r="F43" s="120">
        <f>IF('CA100 2023 Scores'!$F$27="y",1,IF('CA100 2023 Scores'!$F$27="N",0,IF('CA100 2023 Scores'!$F$27="Partial",0.5,IF('CA100 2023 Scores'!$F$27="Not assessed","Under development"))))</f>
        <v>0</v>
      </c>
      <c r="G43" s="120">
        <f>IF('CA100 2023 Scores'!$G$27="y",1,IF('CA100 2023 Scores'!$G$27="N",0,IF('CA100 2023 Scores'!$G$27="Partial",0.5,IF('CA100 2023 Scores'!$G$27="Not assessed","Under development"))))</f>
        <v>0</v>
      </c>
      <c r="H43" s="120">
        <f>IF('CA100 2023 Scores'!$H$27="y",1,IF('CA100 2023 Scores'!$H$27="N",0,IF('CA100 2023 Scores'!$H$27="Partial",0.5,IF('CA100 2023 Scores'!$H$27="Not assessed","Under development"))))</f>
        <v>0</v>
      </c>
      <c r="I43" s="120">
        <f>IF('CA100 2023 Scores'!$I$27="y",1,IF('CA100 2023 Scores'!$I$27="N",0,IF('CA100 2023 Scores'!$I$27="Partial",0.5,IF('CA100 2023 Scores'!$I$27="Not assessed","Under development"))))</f>
        <v>0</v>
      </c>
      <c r="J43" s="120">
        <f>IF('CA100 2023 Scores'!$J$27="y",1,IF('CA100 2023 Scores'!$J$27="N",0,IF('CA100 2023 Scores'!$J$27="Partial",0.5,IF('CA100 2023 Scores'!$J$27="Not assessed","Under development"))))</f>
        <v>0</v>
      </c>
      <c r="K43" s="120">
        <f>IF('CA100 2023 Scores'!$K$27="y",1,IF('CA100 2023 Scores'!$K$27="N",0,IF('CA100 2023 Scores'!$K$27="Partial",0.5,IF('CA100 2023 Scores'!$K$27="Not assessed","Under development"))))</f>
        <v>0</v>
      </c>
      <c r="L43" s="120">
        <f>IF('CA100 2023 Scores'!$L$27="y",1,IF('CA100 2023 Scores'!$L$27="N",0,IF('CA100 2023 Scores'!$L$27="Partial",0.5,IF('CA100 2023 Scores'!$L$27="Not assessed","Under development"))))</f>
        <v>1</v>
      </c>
      <c r="M43" s="120">
        <f>IF('CA100 2023 Scores'!$M$27="y",1,IF('CA100 2023 Scores'!$M$27="N",0,IF('CA100 2023 Scores'!$M$27="Partial",0.5,IF('CA100 2023 Scores'!$M$27="Not assessed","Under development"))))</f>
        <v>0</v>
      </c>
      <c r="N43" s="120">
        <f>IF('CA100 2023 Scores'!$N$27="y",1,IF('CA100 2023 Scores'!$N$27="N",0,IF('CA100 2023 Scores'!$N$27="Partial",0.5,IF('CA100 2023 Scores'!$N$27="Not assessed","Under development"))))</f>
        <v>1</v>
      </c>
      <c r="O43" s="122"/>
      <c r="R43" s="50"/>
    </row>
    <row r="44" spans="2:18" s="40" customFormat="1" ht="15" customHeight="1" outlineLevel="1">
      <c r="B44" s="145">
        <v>4.3</v>
      </c>
      <c r="C44" s="91" t="str">
        <f>'CA100 2023 Scores'!C28</f>
        <v xml:space="preserve">4.3: Paris Agreement alignment of target carbon intensity </v>
      </c>
      <c r="D44" s="119" t="str">
        <f>IF(ISBLANK(VLOOKUP(B44, [1]BP!$A$8:$E$191, 5, FALSE)), "", VLOOKUP(B44, [1]BP!$A$8:$E$191, 5, FALSE))</f>
        <v>Alignment</v>
      </c>
      <c r="E44" s="120">
        <f>IF('CA100 2023 Scores'!$E$28="y",1,IF('CA100 2023 Scores'!$E$28="N",0,IF('CA100 2023 Scores'!$E$28="Partial",0.5,IF('CA100 2023 Scores'!$E$28="Not assessed","Under development"))))</f>
        <v>0</v>
      </c>
      <c r="F44" s="120">
        <f>IF('CA100 2023 Scores'!$F$28="y",1,IF('CA100 2023 Scores'!$F$28="N",0,IF('CA100 2023 Scores'!$F$28="Partial",0.5,IF('CA100 2023 Scores'!$F$28="Not assessed","Under development"))))</f>
        <v>0</v>
      </c>
      <c r="G44" s="120">
        <f>IF('CA100 2023 Scores'!$G$28="y",1,IF('CA100 2023 Scores'!$G$28="N",0,IF('CA100 2023 Scores'!$G$28="Partial",0.5,IF('CA100 2023 Scores'!$G$28="Not assessed","Under development"))))</f>
        <v>0</v>
      </c>
      <c r="H44" s="120">
        <f>IF('CA100 2023 Scores'!$H$28="y",1,IF('CA100 2023 Scores'!$H$28="N",0,IF('CA100 2023 Scores'!$H$28="Partial",0.5,IF('CA100 2023 Scores'!$H$28="Not assessed","Under development"))))</f>
        <v>0</v>
      </c>
      <c r="I44" s="120">
        <f>IF('CA100 2023 Scores'!$I$28="y",1,IF('CA100 2023 Scores'!$I$28="N",0,IF('CA100 2023 Scores'!$I$28="Partial",0.5,IF('CA100 2023 Scores'!$I$28="Not assessed","Under development"))))</f>
        <v>0</v>
      </c>
      <c r="J44" s="120">
        <f>IF('CA100 2023 Scores'!$J$28="y",1,IF('CA100 2023 Scores'!$J$28="N",0,IF('CA100 2023 Scores'!$J$28="Partial",0.5,IF('CA100 2023 Scores'!$J$28="Not assessed","Under development"))))</f>
        <v>0</v>
      </c>
      <c r="K44" s="120">
        <f>IF('CA100 2023 Scores'!$K$28="y",1,IF('CA100 2023 Scores'!$K$28="N",0,IF('CA100 2023 Scores'!$K$28="Partial",0.5,IF('CA100 2023 Scores'!$K$28="Not assessed","Under development"))))</f>
        <v>0</v>
      </c>
      <c r="L44" s="120">
        <f>IF('CA100 2023 Scores'!$L$28="y",1,IF('CA100 2023 Scores'!$L$28="N",0,IF('CA100 2023 Scores'!$L$28="Partial",0.5,IF('CA100 2023 Scores'!$L$28="Not assessed","Under development"))))</f>
        <v>0</v>
      </c>
      <c r="M44" s="120">
        <f>IF('CA100 2023 Scores'!$M$28="y",1,IF('CA100 2023 Scores'!$M$28="N",0,IF('CA100 2023 Scores'!$M$28="Partial",0.5,IF('CA100 2023 Scores'!$M$28="Not assessed","Under development"))))</f>
        <v>0</v>
      </c>
      <c r="N44" s="120">
        <f>IF('CA100 2023 Scores'!$N$28="y",1,IF('CA100 2023 Scores'!$N$28="N",0,IF('CA100 2023 Scores'!$N$28="Partial",0.5,IF('CA100 2023 Scores'!$N$28="Not assessed","Under development"))))</f>
        <v>0</v>
      </c>
      <c r="O44" s="122"/>
      <c r="R44" s="50"/>
    </row>
    <row r="45" spans="2:18" s="40" customFormat="1" ht="15" customHeight="1" outlineLevel="1">
      <c r="B45" s="145"/>
      <c r="C45" s="31"/>
      <c r="D45" s="108"/>
      <c r="E45" s="120"/>
      <c r="F45" s="120"/>
      <c r="G45" s="120"/>
      <c r="H45" s="120"/>
      <c r="I45" s="120"/>
      <c r="J45" s="120"/>
      <c r="K45" s="120"/>
      <c r="L45" s="120"/>
      <c r="M45" s="120"/>
      <c r="N45" s="120"/>
      <c r="O45" s="122"/>
      <c r="R45" s="50"/>
    </row>
    <row r="46" spans="2:18" s="40" customFormat="1" ht="15" customHeight="1">
      <c r="B46" s="148"/>
      <c r="C46" s="123" t="s">
        <v>81</v>
      </c>
      <c r="D46" s="123" t="s">
        <v>81</v>
      </c>
      <c r="E46" s="94" t="s">
        <v>81</v>
      </c>
      <c r="F46" s="94" t="s">
        <v>81</v>
      </c>
      <c r="G46" s="94" t="s">
        <v>81</v>
      </c>
      <c r="H46" s="94" t="s">
        <v>81</v>
      </c>
      <c r="I46" s="94" t="s">
        <v>81</v>
      </c>
      <c r="J46" s="94" t="s">
        <v>81</v>
      </c>
      <c r="K46" s="94"/>
      <c r="L46" s="94"/>
      <c r="M46" s="94"/>
      <c r="N46" s="94"/>
      <c r="O46" s="122" t="s">
        <v>81</v>
      </c>
      <c r="R46" s="50"/>
    </row>
    <row r="47" spans="2:18" s="40" customFormat="1" ht="15" customHeight="1">
      <c r="B47" s="152" t="s">
        <v>410</v>
      </c>
      <c r="C47" s="72" t="s">
        <v>411</v>
      </c>
      <c r="D47" s="69"/>
      <c r="E47" s="68">
        <f t="shared" ref="E47:N47" si="13">AVERAGE(E49, E55, E70,E81,E89)</f>
        <v>0.21103896103896105</v>
      </c>
      <c r="F47" s="68">
        <f t="shared" si="13"/>
        <v>0.14583333333333331</v>
      </c>
      <c r="G47" s="68">
        <f t="shared" si="13"/>
        <v>0.12857142857142856</v>
      </c>
      <c r="H47" s="68">
        <f t="shared" si="13"/>
        <v>0.31</v>
      </c>
      <c r="I47" s="68">
        <f t="shared" si="13"/>
        <v>3.3333333333333333E-2</v>
      </c>
      <c r="J47" s="68">
        <f t="shared" si="13"/>
        <v>8.0952380952380956E-2</v>
      </c>
      <c r="K47" s="68">
        <f t="shared" si="13"/>
        <v>0.30023809523809519</v>
      </c>
      <c r="L47" s="68">
        <f t="shared" si="13"/>
        <v>0.23619047619047615</v>
      </c>
      <c r="M47" s="68">
        <f t="shared" si="13"/>
        <v>0</v>
      </c>
      <c r="N47" s="68">
        <f t="shared" si="13"/>
        <v>0.58333333333333326</v>
      </c>
      <c r="O47" s="70" t="s">
        <v>81</v>
      </c>
      <c r="R47" s="50"/>
    </row>
    <row r="48" spans="2:18" s="40" customFormat="1" ht="15" customHeight="1">
      <c r="B48" s="148"/>
      <c r="C48" s="50"/>
      <c r="D48" s="123"/>
      <c r="E48" s="94"/>
      <c r="F48" s="94"/>
      <c r="G48" s="94"/>
      <c r="H48" s="94"/>
      <c r="I48" s="94"/>
      <c r="J48" s="94"/>
      <c r="K48" s="94"/>
      <c r="L48" s="94"/>
      <c r="M48" s="94"/>
      <c r="N48" s="94"/>
      <c r="O48" s="122"/>
      <c r="R48" s="50"/>
    </row>
    <row r="49" spans="2:18" s="40" customFormat="1" ht="15" customHeight="1" outlineLevel="1">
      <c r="B49" s="145">
        <v>5.0999999999999996</v>
      </c>
      <c r="C49" s="91" t="s">
        <v>412</v>
      </c>
      <c r="D49" s="119" t="str">
        <f>IF(ISBLANK(VLOOKUP(B49, [1]BP!$A$8:$E$191, 5, FALSE)), "", VLOOKUP(B49, [1]BP!$A$8:$E$191, 5, FALSE))</f>
        <v/>
      </c>
      <c r="E49" s="120">
        <f>AVERAGE(E50:E54)</f>
        <v>0.25</v>
      </c>
      <c r="F49" s="120">
        <f t="shared" ref="F49:N49" si="14">AVERAGE(F50:F54)</f>
        <v>0.5</v>
      </c>
      <c r="G49" s="120">
        <f t="shared" si="14"/>
        <v>0</v>
      </c>
      <c r="H49" s="120">
        <f t="shared" si="14"/>
        <v>0.5</v>
      </c>
      <c r="I49" s="120">
        <f t="shared" si="14"/>
        <v>0</v>
      </c>
      <c r="J49" s="120">
        <f t="shared" si="14"/>
        <v>0</v>
      </c>
      <c r="K49" s="120">
        <f t="shared" si="14"/>
        <v>0.5</v>
      </c>
      <c r="L49" s="120">
        <f t="shared" si="14"/>
        <v>0.25</v>
      </c>
      <c r="M49" s="120">
        <f t="shared" si="14"/>
        <v>0</v>
      </c>
      <c r="N49" s="120">
        <f t="shared" si="14"/>
        <v>0.25</v>
      </c>
      <c r="O49" s="122"/>
      <c r="R49" s="50"/>
    </row>
    <row r="50" spans="2:18" s="40" customFormat="1" ht="15" customHeight="1" outlineLevel="2">
      <c r="B50" s="145" t="str">
        <f>LEFT(C50,FIND(":",C50)-1)</f>
        <v>5.1.a</v>
      </c>
      <c r="C50" s="93" t="s">
        <v>413</v>
      </c>
      <c r="D50" s="119" t="str">
        <f>IF(ISBLANK(VLOOKUP(B50, [1]BP!$A$8:$E$191, 5, FALSE)), "", VLOOKUP(B50, [1]BP!$A$8:$E$191, 5, FALSE))</f>
        <v>Disclosure</v>
      </c>
      <c r="E50" s="120">
        <f>IF('CA100 2023 Scores'!$E$31="y",1,IF('CA100 2023 Scores'!$E$31="N",0,IF('CA100 2023 Scores'!$E$31="Partial",0.5,IF('CA100 2023 Scores'!$E$31="Not assessed","Under development"))))</f>
        <v>1</v>
      </c>
      <c r="F50" s="120">
        <f>IF('CA100 2023 Scores'!$F$31="y",1,IF('CA100 2023 Scores'!$F$31="N",0,IF('CA100 2023 Scores'!$F$31="Partial",0.5,IF('CA100 2023 Scores'!$F$31="Not assessed","Under development"))))</f>
        <v>1</v>
      </c>
      <c r="G50" s="120">
        <f>IF('CA100 2023 Scores'!$G$31="y",1,IF('CA100 2023 Scores'!$G$31="N",0,IF('CA100 2023 Scores'!$G$31="Partial",0.5,IF('CA100 2023 Scores'!$G$31="Not assessed","Under development"))))</f>
        <v>0</v>
      </c>
      <c r="H50" s="120">
        <f>IF('CA100 2023 Scores'!$H$31="y",1,IF('CA100 2023 Scores'!$H$31="N",0,IF('CA100 2023 Scores'!$H$31="Partial",0.5,IF('CA100 2023 Scores'!$H$31="Not assessed","Under development"))))</f>
        <v>1</v>
      </c>
      <c r="I50" s="120">
        <f>IF('CA100 2023 Scores'!$I$31="y",1,IF('CA100 2023 Scores'!$I$31="N",0,IF('CA100 2023 Scores'!$I$31="Partial",0.5,IF('CA100 2023 Scores'!$I$31="Not assessed","Under development"))))</f>
        <v>0</v>
      </c>
      <c r="J50" s="120">
        <f>IF('CA100 2023 Scores'!$J$31="y",1,IF('CA100 2023 Scores'!$J$31="N",0,IF('CA100 2023 Scores'!$J$31="Partial",0.5,IF('CA100 2023 Scores'!$J$31="Not assessed","Under development"))))</f>
        <v>0</v>
      </c>
      <c r="K50" s="120">
        <f>IF('CA100 2023 Scores'!$K$31="y",1,IF('CA100 2023 Scores'!$K$31="N",0,IF('CA100 2023 Scores'!$K$31="Partial",0.5,IF('CA100 2023 Scores'!$K$31="Not assessed","Under development"))))</f>
        <v>1</v>
      </c>
      <c r="L50" s="120">
        <f>IF('CA100 2023 Scores'!$L$31="y",1,IF('CA100 2023 Scores'!$L$31="N",0,IF('CA100 2023 Scores'!$L$31="Partial",0.5,IF('CA100 2023 Scores'!$L$31="Not assessed","Under development"))))</f>
        <v>1</v>
      </c>
      <c r="M50" s="120">
        <f>IF('CA100 2023 Scores'!$M$31="y",1,IF('CA100 2023 Scores'!$M$31="N",0,IF('CA100 2023 Scores'!$M$31="Partial",0.5,IF('CA100 2023 Scores'!$M$31="Not assessed","Under development"))))</f>
        <v>0</v>
      </c>
      <c r="N50" s="120">
        <f>IF('CA100 2023 Scores'!$N$31="y",1,IF('CA100 2023 Scores'!$N$31="N",0,IF('CA100 2023 Scores'!$N$31="Partial",0.5,IF('CA100 2023 Scores'!$N$31="Not assessed","Under development"))))</f>
        <v>1</v>
      </c>
      <c r="O50" s="122"/>
      <c r="R50" s="50"/>
    </row>
    <row r="51" spans="2:18" s="40" customFormat="1" ht="15" customHeight="1" outlineLevel="2">
      <c r="B51" s="145" t="str">
        <f>LEFT(C51,FIND(":",C51)-1)</f>
        <v>5.1.b</v>
      </c>
      <c r="C51" s="93" t="s">
        <v>414</v>
      </c>
      <c r="D51" s="119" t="str">
        <f>IF(ISBLANK(VLOOKUP(B51, [1]BP!$A$8:$E$191, 5, FALSE)), "", VLOOKUP(B51, [1]BP!$A$8:$E$191, 5, FALSE))</f>
        <v>Disclosure</v>
      </c>
      <c r="E51" s="120">
        <f>IF('CA100 2023 Scores'!$E$32="y",1,IF('CA100 2023 Scores'!$E$32="N",0,IF('CA100 2023 Scores'!$E$32="Partial",0.5,IF('CA100 2023 Scores'!$E$32="Not assessed","Under development"))))</f>
        <v>0</v>
      </c>
      <c r="F51" s="120">
        <f>IF('CA100 2023 Scores'!$F$32="y",1,IF('CA100 2023 Scores'!$F$32="N",0,IF('CA100 2023 Scores'!$F$32="Partial",0.5,IF('CA100 2023 Scores'!$F$32="Not assessed","Under development"))))</f>
        <v>1</v>
      </c>
      <c r="G51" s="120">
        <f>IF('CA100 2023 Scores'!$G$32="y",1,IF('CA100 2023 Scores'!$G$32="N",0,IF('CA100 2023 Scores'!$G$32="Partial",0.5,IF('CA100 2023 Scores'!$G$32="Not assessed","Under development"))))</f>
        <v>0</v>
      </c>
      <c r="H51" s="120">
        <f>IF('CA100 2023 Scores'!$H$32="y",1,IF('CA100 2023 Scores'!$H$32="N",0,IF('CA100 2023 Scores'!$H$32="Partial",0.5,IF('CA100 2023 Scores'!$H$32="Not assessed","Under development"))))</f>
        <v>1</v>
      </c>
      <c r="I51" s="120">
        <f>IF('CA100 2023 Scores'!$I$32="y",1,IF('CA100 2023 Scores'!$I$32="N",0,IF('CA100 2023 Scores'!$I$32="Partial",0.5,IF('CA100 2023 Scores'!$I$32="Not assessed","Under development"))))</f>
        <v>0</v>
      </c>
      <c r="J51" s="120">
        <f>IF('CA100 2023 Scores'!$J$32="y",1,IF('CA100 2023 Scores'!$J$32="N",0,IF('CA100 2023 Scores'!$J$32="Partial",0.5,IF('CA100 2023 Scores'!$J$32="Not assessed","Under development"))))</f>
        <v>0</v>
      </c>
      <c r="K51" s="120">
        <f>IF('CA100 2023 Scores'!$K$32="y",1,IF('CA100 2023 Scores'!$K$32="N",0,IF('CA100 2023 Scores'!$K$32="Partial",0.5,IF('CA100 2023 Scores'!$K$32="Not assessed","Under development"))))</f>
        <v>1</v>
      </c>
      <c r="L51" s="120">
        <f>IF('CA100 2023 Scores'!$L$32="y",1,IF('CA100 2023 Scores'!$L$32="N",0,IF('CA100 2023 Scores'!$L$32="Partial",0.5,IF('CA100 2023 Scores'!$L$32="Not assessed","Under development"))))</f>
        <v>0</v>
      </c>
      <c r="M51" s="120">
        <f>IF('CA100 2023 Scores'!$M$32="y",1,IF('CA100 2023 Scores'!$M$32="N",0,IF('CA100 2023 Scores'!$M$32="Partial",0.5,IF('CA100 2023 Scores'!$M$32="Not assessed","Under development"))))</f>
        <v>0</v>
      </c>
      <c r="N51" s="120">
        <f>IF('CA100 2023 Scores'!$N$32="y",1,IF('CA100 2023 Scores'!$N$32="N",0,IF('CA100 2023 Scores'!$N$32="Partial",0.5,IF('CA100 2023 Scores'!$N$32="Not assessed","Under development"))))</f>
        <v>0</v>
      </c>
      <c r="O51" s="122"/>
      <c r="R51" s="50"/>
    </row>
    <row r="52" spans="2:18" s="40" customFormat="1" ht="15" customHeight="1" outlineLevel="2">
      <c r="B52" s="145" t="str">
        <f>LEFT(C52,FIND(" ",C52)-1)</f>
        <v>5.i.a</v>
      </c>
      <c r="C52" s="126" t="s">
        <v>415</v>
      </c>
      <c r="D52" s="127" t="s">
        <v>44</v>
      </c>
      <c r="E52" s="120">
        <f>IF('NZS O&amp;G Summary'!$F$22="Y",1,IF('NZS O&amp;G Summary'!$F$22="n",0,IF('NZS O&amp;G Summary'!$F$22="Under development","Under development",IF('NZS O&amp;G Summary'!$F$22="Not applicable", "Not Applicable"))))</f>
        <v>0</v>
      </c>
      <c r="F52" s="120">
        <f>IF('NZS O&amp;G Summary'!$G$22="y",1,IF('NZS O&amp;G Summary'!$G$22="n",0,IF('NZS O&amp;G Summary'!$G$22="Under development","Under development",IF('NZS O&amp;G Summary'!$G$22="Not applicable", "Not Applicable"))))</f>
        <v>0</v>
      </c>
      <c r="G52" s="120">
        <f>IF('NZS O&amp;G Summary'!$H$22="y",1,IF('NZS O&amp;G Summary'!$H$22="n",0,IF('NZS O&amp;G Summary'!$H$22="Under development","Under development",IF('NZS O&amp;G Summary'!$H$22="Not applicable", "Not Applicable"))))</f>
        <v>0</v>
      </c>
      <c r="H52" s="120">
        <f>IF('NZS O&amp;G Summary'!$I$22="y",1,IF('NZS O&amp;G Summary'!$I$22="N",0,IF('NZS O&amp;G Summary'!$I$22="Under development","Under development",IF('NZS O&amp;G Summary'!$I$22="Not applicable", "Not Applicable"))))</f>
        <v>0</v>
      </c>
      <c r="I52" s="120">
        <f>IF('NZS O&amp;G Summary'!$J$22="Y",1,IF('NZS O&amp;G Summary'!$J$22="n",0,IF('NZS O&amp;G Summary'!$J$22="Under development","Under development",IF('NZS O&amp;G Summary'!$J$22="Not applicable", "Not Applicable"))))</f>
        <v>0</v>
      </c>
      <c r="J52" s="120">
        <f>IF('NZS O&amp;G Summary'!$K$22="Y",1,IF('NZS O&amp;G Summary'!$K$22="N",0,IF('NZS O&amp;G Summary'!$K$22="Under development","Under development",IF('NZS O&amp;G Summary'!$K$22="Not applicable", "Not Applicable"))))</f>
        <v>0</v>
      </c>
      <c r="K52" s="120">
        <f>IF('NZS O&amp;G Summary'!$L$22="Y",1,IF('NZS O&amp;G Summary'!$L$22="n",0,IF('NZS O&amp;G Summary'!$L$22="Under development","Under development",IF('NZS O&amp;G Summary'!$L$22="Not applicable", "Not Applicable"))))</f>
        <v>0</v>
      </c>
      <c r="L52" s="120">
        <f>IF('NZS O&amp;G Summary'!$M$22="Y",1,IF('NZS O&amp;G Summary'!$M$22="N",0,IF('NZS O&amp;G Summary'!$M$22="Under development","Under development",IF('NZS O&amp;G Summary'!$M$22="Not applicable", "Not Applicable"))))</f>
        <v>0</v>
      </c>
      <c r="M52" s="120">
        <f>IF('NZS O&amp;G Summary'!$N$22="Y",1,IF('NZS O&amp;G Summary'!$N$22="n",0,IF('NZS O&amp;G Summary'!$N$22="Under development","Under development",IF('NZS O&amp;G Summary'!$N$22="Not applicable", "Not Applicable"))))</f>
        <v>0</v>
      </c>
      <c r="N52" s="120">
        <f>IF('NZS O&amp;G Summary'!$O$22="Y",1,IF('NZS O&amp;G Summary'!$O$22="N",0,IF('NZS O&amp;G Summary'!$O$22="Under development","Under development",IF('NZS O&amp;G Summary'!$O$22="Not applicable", "Not Applicable"))))</f>
        <v>0</v>
      </c>
      <c r="O52" s="122"/>
      <c r="R52" s="50"/>
    </row>
    <row r="53" spans="2:18" s="40" customFormat="1" ht="15" customHeight="1" outlineLevel="2">
      <c r="B53" s="145" t="str">
        <f>LEFT(C53,FIND(" ",C53)-1)</f>
        <v>5.i.b</v>
      </c>
      <c r="C53" s="126" t="s">
        <v>416</v>
      </c>
      <c r="D53" s="127" t="s">
        <v>44</v>
      </c>
      <c r="E53" s="120">
        <f>IF('NZS O&amp;G Summary'!$F$23="Y",1,IF('NZS O&amp;G Summary'!$F$23="n",0,IF('NZS O&amp;G Summary'!$F$23="Under development","Under development",IF('NZS O&amp;G Summary'!$F$23="Not applicable", "Not Applicable"))))</f>
        <v>0</v>
      </c>
      <c r="F53" s="120">
        <f>IF('NZS O&amp;G Summary'!$G$23="y",1,IF('NZS O&amp;G Summary'!$G$23="n",0,IF('NZS O&amp;G Summary'!$G$23="Under development","Under development",IF('NZS O&amp;G Summary'!$G$23="Not applicable", "Not Applicable"))))</f>
        <v>0</v>
      </c>
      <c r="G53" s="120">
        <f>IF('NZS O&amp;G Summary'!$H$23="y",1,IF('NZS O&amp;G Summary'!$H$23="n",0,IF('NZS O&amp;G Summary'!$H$23="Under development","Under development",IF('NZS O&amp;G Summary'!$H$23="Not applicable", "Not Applicable"))))</f>
        <v>0</v>
      </c>
      <c r="H53" s="120">
        <f>IF('NZS O&amp;G Summary'!$I$23="y",1,IF('NZS O&amp;G Summary'!$I$23="N",0,IF('NZS O&amp;G Summary'!$I$23="Under development","Under development",IF('NZS O&amp;G Summary'!$I$23="Not applicable", "Not Applicable"))))</f>
        <v>0</v>
      </c>
      <c r="I53" s="120">
        <f>IF('NZS O&amp;G Summary'!$J$23="Y",1,IF('NZS O&amp;G Summary'!$J$23="n",0,IF('NZS O&amp;G Summary'!$J$23="Under development","Under development",IF('NZS O&amp;G Summary'!$J$23="Not applicable", "Not Applicable"))))</f>
        <v>0</v>
      </c>
      <c r="J53" s="120">
        <f>IF('NZS O&amp;G Summary'!$K$23="Y",1,IF('NZS O&amp;G Summary'!$K$23="N",0,IF('NZS O&amp;G Summary'!$K$23="Under development","Under development",IF('NZS O&amp;G Summary'!$K$23="Not applicable", "Not Applicable"))))</f>
        <v>0</v>
      </c>
      <c r="K53" s="120">
        <f>IF('NZS O&amp;G Summary'!$L$23="Y",1,IF('NZS O&amp;G Summary'!$L$23="n",0,IF('NZS O&amp;G Summary'!$L$23="Under development","Under development",IF('NZS O&amp;G Summary'!$L$23="Not applicable", "Not Applicable"))))</f>
        <v>0</v>
      </c>
      <c r="L53" s="120">
        <f>IF('NZS O&amp;G Summary'!$M$23="Y",1,IF('NZS O&amp;G Summary'!$M$23="N",0,IF('NZS O&amp;G Summary'!$M$23="Under development","Under development",IF('NZS O&amp;G Summary'!$M$23="Not applicable", "Not Applicable"))))</f>
        <v>0</v>
      </c>
      <c r="M53" s="120">
        <f>IF('NZS O&amp;G Summary'!$N$23="Y",1,IF('NZS O&amp;G Summary'!$N$23="n",0,IF('NZS O&amp;G Summary'!$N$23="Under development","Under development",IF('NZS O&amp;G Summary'!$N$23="Not applicable", "Not Applicable"))))</f>
        <v>0</v>
      </c>
      <c r="N53" s="120">
        <f>IF('NZS O&amp;G Summary'!$O$23="Y",1,IF('NZS O&amp;G Summary'!$O$23="N",0,IF('NZS O&amp;G Summary'!$O$23="Under development","Under development",IF('NZS O&amp;G Summary'!$O$23="Not applicable", "Not Applicable"))))</f>
        <v>0</v>
      </c>
      <c r="O53" s="122"/>
      <c r="R53" s="50"/>
    </row>
    <row r="54" spans="2:18" s="40" customFormat="1" ht="15" customHeight="1" outlineLevel="2">
      <c r="B54" s="145" t="str">
        <f>LEFT(C54,FIND(":",C54)-1)</f>
        <v>5.1.d</v>
      </c>
      <c r="C54" s="93" t="s">
        <v>417</v>
      </c>
      <c r="D54" s="119" t="str">
        <f>IF(ISBLANK(VLOOKUP(B54, [1]BP!$A$8:$E$191, 5, FALSE)), "", VLOOKUP(B54, [1]BP!$A$8:$E$191, 5, FALSE))</f>
        <v>Disclosure</v>
      </c>
      <c r="E54" s="120" t="str">
        <f>IF('CA100 2023 Scores'!$E$34="y",1,IF('CA100 2023 Scores'!$E$34="N",0,IF('CA100 2023 Scores'!$E$34="Partial",0.5,IF('CA100 2023 Scores'!$E$34="Not assessed","Under development"))))</f>
        <v>Under development</v>
      </c>
      <c r="F54" s="120" t="str">
        <f>IF('CA100 2023 Scores'!$F$34="y",1,IF('CA100 2023 Scores'!$F$34="N",0,IF('CA100 2023 Scores'!$F$34="Partial",0.5,IF('CA100 2023 Scores'!$F$34="Not assessed","Under development"))))</f>
        <v>Under development</v>
      </c>
      <c r="G54" s="120" t="str">
        <f>IF('CA100 2023 Scores'!$G$34="y",1,IF('CA100 2023 Scores'!$G$34="N",0,IF('CA100 2023 Scores'!$G$34="Partial",0.5,IF('CA100 2023 Scores'!$G$34="Not assessed","Under development"))))</f>
        <v>Under development</v>
      </c>
      <c r="H54" s="120" t="str">
        <f>IF('CA100 2023 Scores'!$H$34="y",1,IF('CA100 2023 Scores'!$H$34="N",0,IF('CA100 2023 Scores'!$H$34="Partial",0.5,IF('CA100 2023 Scores'!$H$34="Not assessed","Under development"))))</f>
        <v>Under development</v>
      </c>
      <c r="I54" s="120" t="str">
        <f>IF('CA100 2023 Scores'!$I$34="y",1,IF('CA100 2023 Scores'!$I$34="N",0,IF('CA100 2023 Scores'!$I$34="Partial",0.5,IF('CA100 2023 Scores'!$I$34="Not assessed","Under development"))))</f>
        <v>Under development</v>
      </c>
      <c r="J54" s="120" t="str">
        <f>IF('CA100 2023 Scores'!$J$34="y",1,IF('CA100 2023 Scores'!$J$34="N",0,IF('CA100 2023 Scores'!$J$34="Partial",0.5,IF('CA100 2023 Scores'!$J$34="Not assessed","Under development"))))</f>
        <v>Under development</v>
      </c>
      <c r="K54" s="120" t="str">
        <f>IF('CA100 2023 Scores'!$K$34="y",1,IF('CA100 2023 Scores'!$K$34="N",0,IF('CA100 2023 Scores'!$K$34="Partial",0.5,IF('CA100 2023 Scores'!$K$34="Not assessed","Under development"))))</f>
        <v>Under development</v>
      </c>
      <c r="L54" s="120" t="str">
        <f>IF('CA100 2023 Scores'!$L$34="y",1,IF('CA100 2023 Scores'!$L$34="N",0,IF('CA100 2023 Scores'!$L$34="Partial",0.5,IF('CA100 2023 Scores'!$L$34="Not assessed","Under development"))))</f>
        <v>Under development</v>
      </c>
      <c r="M54" s="120" t="str">
        <f>IF('CA100 2023 Scores'!$M$34="y",1,IF('CA100 2023 Scores'!$M$34="N",0,IF('CA100 2023 Scores'!$M$34="Partial",0.5,IF('CA100 2023 Scores'!$M$34="Not assessed","Under development"))))</f>
        <v>Under development</v>
      </c>
      <c r="N54" s="120" t="str">
        <f>IF('CA100 2023 Scores'!$N$34="y",1,IF('CA100 2023 Scores'!$N$34="N",0,IF('CA100 2023 Scores'!$N$34="Partial",0.5,IF('CA100 2023 Scores'!$N$34="Not assessed","Under development"))))</f>
        <v>Under development</v>
      </c>
      <c r="O54" s="122"/>
      <c r="R54" s="50"/>
    </row>
    <row r="55" spans="2:18" s="40" customFormat="1" ht="15" customHeight="1" outlineLevel="1">
      <c r="B55" s="145" t="str">
        <f>LEFT(C55,FIND(" ",C55)-1)</f>
        <v>5.ii</v>
      </c>
      <c r="C55" s="133" t="s">
        <v>418</v>
      </c>
      <c r="D55" s="131" t="s">
        <v>81</v>
      </c>
      <c r="E55" s="120">
        <f>SUM(E56:E69)/COUNT(E56:E69)</f>
        <v>9.0909090909090912E-2</v>
      </c>
      <c r="F55" s="120">
        <f t="shared" ref="F55:M55" si="15">SUM(F56:F69)/COUNT(F56:F69)</f>
        <v>0</v>
      </c>
      <c r="G55" s="120">
        <f t="shared" si="15"/>
        <v>0</v>
      </c>
      <c r="H55" s="120">
        <f t="shared" si="15"/>
        <v>0.41666666666666669</v>
      </c>
      <c r="I55" s="120">
        <f t="shared" si="15"/>
        <v>0</v>
      </c>
      <c r="J55" s="120">
        <f t="shared" si="15"/>
        <v>7.1428571428571425E-2</v>
      </c>
      <c r="K55" s="120">
        <f t="shared" si="15"/>
        <v>0.14285714285714285</v>
      </c>
      <c r="L55" s="120">
        <f t="shared" si="15"/>
        <v>8.3333333333333329E-2</v>
      </c>
      <c r="M55" s="120">
        <f t="shared" si="15"/>
        <v>0</v>
      </c>
      <c r="N55" s="120">
        <f>SUM(N56:N69)/COUNT(N56:N69)</f>
        <v>0.5</v>
      </c>
      <c r="O55" s="122" t="s">
        <v>81</v>
      </c>
      <c r="R55" s="50"/>
    </row>
    <row r="56" spans="2:18" s="40" customFormat="1" ht="15" customHeight="1" outlineLevel="2">
      <c r="B56" s="145" t="str">
        <f t="shared" ref="B56:B72" si="16">LEFT(C56,FIND(":",C56)-1)</f>
        <v>5.1.c</v>
      </c>
      <c r="C56" s="93" t="s">
        <v>419</v>
      </c>
      <c r="D56" s="119" t="str">
        <f>IF(ISBLANK(VLOOKUP(B56, [1]BP!$A$8:$E$191, 5, FALSE)), "", VLOOKUP(B56, [1]BP!$A$8:$E$191, 5, FALSE))</f>
        <v>Disclosure</v>
      </c>
      <c r="E56" s="120">
        <f>IF('CA100 2023 Scores'!$E$33="y",1,IF('CA100 2023 Scores'!$E$33="N",0,IF('CA100 2023 Scores'!$E$33="Partial",0.5,IF('CA100 2023 Scores'!$E$33="Not assessed","Under development"))))</f>
        <v>0</v>
      </c>
      <c r="F56" s="120">
        <f>IF('CA100 2023 Scores'!$F$33="y",1,IF('CA100 2023 Scores'!$F$33="N",0,IF('CA100 2023 Scores'!$F$33="Partial",0.5,IF('CA100 2023 Scores'!$F$33="Not assessed","Under development"))))</f>
        <v>0</v>
      </c>
      <c r="G56" s="120">
        <f>IF('CA100 2023 Scores'!$G$33="y",1,IF('CA100 2023 Scores'!$G$33="N",0,IF('CA100 2023 Scores'!$G$33="Partial",0.5,IF('CA100 2023 Scores'!$G$33="Not assessed","Under development"))))</f>
        <v>0</v>
      </c>
      <c r="H56" s="120">
        <f>IF('CA100 2023 Scores'!$H$33="y",1,IF('CA100 2023 Scores'!$H$33="N",0,IF('CA100 2023 Scores'!$H$33="Partial",0.5,IF('CA100 2023 Scores'!$H$33="Not assessed","Under development"))))</f>
        <v>1</v>
      </c>
      <c r="I56" s="120">
        <f>IF('CA100 2023 Scores'!$I$33="y",1,IF('CA100 2023 Scores'!$I$33="N",0,IF('CA100 2023 Scores'!$I$33="Partial",0.5,IF('CA100 2023 Scores'!$I$33="Not assessed","Under development"))))</f>
        <v>0</v>
      </c>
      <c r="J56" s="120">
        <f>IF('CA100 2023 Scores'!$J$33="y",1,IF('CA100 2023 Scores'!$J$33="N",0,IF('CA100 2023 Scores'!$J$33="Partial",0.5,IF('CA100 2023 Scores'!$J$33="Not assessed","Under development"))))</f>
        <v>0</v>
      </c>
      <c r="K56" s="120">
        <f>IF('CA100 2023 Scores'!$K$33="y",1,IF('CA100 2023 Scores'!$K$33="N",0,IF('CA100 2023 Scores'!$K$33="Partial",0.5,IF('CA100 2023 Scores'!$K$33="Not assessed","Under development"))))</f>
        <v>0</v>
      </c>
      <c r="L56" s="120">
        <f>IF('CA100 2023 Scores'!$L$33="y",1,IF('CA100 2023 Scores'!$L$33="N",0,IF('CA100 2023 Scores'!$L$33="Partial",0.5,IF('CA100 2023 Scores'!$L$33="Not assessed","Under development"))))</f>
        <v>0</v>
      </c>
      <c r="M56" s="120">
        <f>IF('CA100 2023 Scores'!$M$33="y",1,IF('CA100 2023 Scores'!$M$33="N",0,IF('CA100 2023 Scores'!$M$33="Partial",0.5,IF('CA100 2023 Scores'!$M$33="Not assessed","Under development"))))</f>
        <v>0</v>
      </c>
      <c r="N56" s="120">
        <f>IF('CA100 2023 Scores'!$N$33="y",1,IF('CA100 2023 Scores'!$N$33="N",0,IF('CA100 2023 Scores'!$N$33="Partial",0.5,IF('CA100 2023 Scores'!$N$33="Not assessed","Under development"))))</f>
        <v>0</v>
      </c>
      <c r="O56" s="122"/>
      <c r="R56" s="50"/>
    </row>
    <row r="57" spans="2:18" s="40" customFormat="1" ht="15" customHeight="1" outlineLevel="2">
      <c r="B57" s="145" t="str">
        <f t="shared" ref="B57:B69" si="17">LEFT(C57,FIND(" ",C57)-1)</f>
        <v>5.ii.a</v>
      </c>
      <c r="C57" s="126" t="s">
        <v>420</v>
      </c>
      <c r="D57" s="127" t="s">
        <v>44</v>
      </c>
      <c r="E57" s="120">
        <f>IF('NZS O&amp;G Summary'!$F$25="Y",1,IF('NZS O&amp;G Summary'!$F$25="n",0,IF('NZS O&amp;G Summary'!$F$25="Under development","Under development",IF('NZS O&amp;G Summary'!$F$25="Not applicable", "Not Applicable"))))</f>
        <v>0</v>
      </c>
      <c r="F57" s="120">
        <f>IF('NZS O&amp;G Summary'!$G$25="y",1,IF('NZS O&amp;G Summary'!$G$25="n",0,IF('NZS O&amp;G Summary'!$G$25="Under development","Under development",IF('NZS O&amp;G Summary'!$G$25="Not applicable", "Not Applicable"))))</f>
        <v>0</v>
      </c>
      <c r="G57" s="120">
        <f>IF('NZS O&amp;G Summary'!$H$25="y",1,IF('NZS O&amp;G Summary'!$H$25="n",0,IF('NZS O&amp;G Summary'!$H$25="Under development","Under development",IF('NZS O&amp;G Summary'!$H$25="Not applicable", "Not Applicable"))))</f>
        <v>0</v>
      </c>
      <c r="H57" s="120">
        <f>IF('NZS O&amp;G Summary'!$I$25="y",1,IF('NZS O&amp;G Summary'!$I$25="N",0,IF('NZS O&amp;G Summary'!$I$25="Under development","Under development",IF('NZS O&amp;G Summary'!$I$25="Not applicable", "Not Applicable"))))</f>
        <v>1</v>
      </c>
      <c r="I57" s="120">
        <f>IF('NZS O&amp;G Summary'!$J$25="Y",1,IF('NZS O&amp;G Summary'!$J$25="n",0,IF('NZS O&amp;G Summary'!$J$25="Under development","Under development",IF('NZS O&amp;G Summary'!$J$25="Not applicable", "Not Applicable"))))</f>
        <v>0</v>
      </c>
      <c r="J57" s="120">
        <f>IF('NZS O&amp;G Summary'!$K$25="Y",1,IF('NZS O&amp;G Summary'!$K$25="N",0,IF('NZS O&amp;G Summary'!$K$25="Under development","Under development",IF('NZS O&amp;G Summary'!$K$25="Not applicable", "Not Applicable"))))</f>
        <v>0</v>
      </c>
      <c r="K57" s="120">
        <f>IF('NZS O&amp;G Summary'!$L$25="Y",1,IF('NZS O&amp;G Summary'!$L$25="n",0,IF('NZS O&amp;G Summary'!$L$25="Under development","Under development",IF('NZS O&amp;G Summary'!$L$25="Not applicable", "Not Applicable"))))</f>
        <v>0</v>
      </c>
      <c r="L57" s="120">
        <f>IF('NZS O&amp;G Summary'!$M$25="Y",1,IF('NZS O&amp;G Summary'!$M$25="N",0,IF('NZS O&amp;G Summary'!$M$25="Under development","Under development",IF('NZS O&amp;G Summary'!$M$25="Not applicable", "Not Applicable"))))</f>
        <v>0</v>
      </c>
      <c r="M57" s="120">
        <f>IF('NZS O&amp;G Summary'!$N$25="Y",1,IF('NZS O&amp;G Summary'!$N$25="n",0,IF('NZS O&amp;G Summary'!$N$25="Under development","Under development",IF('NZS O&amp;G Summary'!$N$25="Not applicable", "Not Applicable"))))</f>
        <v>0</v>
      </c>
      <c r="N57" s="120">
        <f>IF('NZS O&amp;G Summary'!$O$25="Y",1,IF('NZS O&amp;G Summary'!$O$25="N",0,IF('NZS O&amp;G Summary'!$O$25="Under development","Under development",IF('NZS O&amp;G Summary'!$O$25="Not applicable", "Not Applicable"))))</f>
        <v>1</v>
      </c>
      <c r="O57" s="122"/>
      <c r="R57" s="50"/>
    </row>
    <row r="58" spans="2:18" s="40" customFormat="1" ht="15" customHeight="1" outlineLevel="2">
      <c r="B58" s="145" t="str">
        <f t="shared" si="17"/>
        <v>5.ii.b</v>
      </c>
      <c r="C58" s="126" t="s">
        <v>421</v>
      </c>
      <c r="D58" s="127" t="s">
        <v>45</v>
      </c>
      <c r="E58" s="120">
        <f>IF('NZS O&amp;G Summary'!$F$26="Y",1,IF('NZS O&amp;G Summary'!$F$26="n",0,IF('NZS O&amp;G Summary'!$F$26="Under development","Under development",IF('NZS O&amp;G Summary'!$F$26="Not applicable", "Not Applicable"))))</f>
        <v>0</v>
      </c>
      <c r="F58" s="120">
        <f>IF('NZS O&amp;G Summary'!$G$26="y",1,IF('NZS O&amp;G Summary'!$G$26="n",0,IF('NZS O&amp;G Summary'!$G$26="Under development","Under development",IF('NZS O&amp;G Summary'!$G$26="Not applicable", "Not Applicable"))))</f>
        <v>0</v>
      </c>
      <c r="G58" s="120">
        <f>IF('NZS O&amp;G Summary'!$H$26="y",1,IF('NZS O&amp;G Summary'!$H$26="n",0,IF('NZS O&amp;G Summary'!$H$26="Under development","Under development",IF('NZS O&amp;G Summary'!$H$26="Not applicable", "Not Applicable"))))</f>
        <v>0</v>
      </c>
      <c r="H58" s="120">
        <f>IF('NZS O&amp;G Summary'!$I$26="y",1,IF('NZS O&amp;G Summary'!$I$26="N",0,IF('NZS O&amp;G Summary'!$I$26="Under development","Under development",IF('NZS O&amp;G Summary'!$I$26="Not applicable", "Not Applicable"))))</f>
        <v>1</v>
      </c>
      <c r="I58" s="120">
        <f>IF('NZS O&amp;G Summary'!$J$26="Y",1,IF('NZS O&amp;G Summary'!$J$26="n",0,IF('NZS O&amp;G Summary'!$J$26="Under development","Under development",IF('NZS O&amp;G Summary'!$J$26="Not applicable", "Not Applicable"))))</f>
        <v>0</v>
      </c>
      <c r="J58" s="120">
        <f>IF('NZS O&amp;G Summary'!$K$26="Y",1,IF('NZS O&amp;G Summary'!$K$26="N",0,IF('NZS O&amp;G Summary'!$K$26="Under development","Under development",IF('NZS O&amp;G Summary'!$K$26="Not applicable", "Not Applicable"))))</f>
        <v>0</v>
      </c>
      <c r="K58" s="120">
        <f>IF('NZS O&amp;G Summary'!$L$26="Y",1,IF('NZS O&amp;G Summary'!$L$26="n",0,IF('NZS O&amp;G Summary'!$L$26="Under development","Under development",IF('NZS O&amp;G Summary'!$L$26="Not applicable", "Not Applicable"))))</f>
        <v>0</v>
      </c>
      <c r="L58" s="120">
        <f>IF('NZS O&amp;G Summary'!$M$26="Y",1,IF('NZS O&amp;G Summary'!$M$26="N",0,IF('NZS O&amp;G Summary'!$M$26="Under development","Under development",IF('NZS O&amp;G Summary'!$M$26="Not applicable", "Not Applicable"))))</f>
        <v>0</v>
      </c>
      <c r="M58" s="120">
        <f>IF('NZS O&amp;G Summary'!$N$26="Y",1,IF('NZS O&amp;G Summary'!$N$26="n",0,IF('NZS O&amp;G Summary'!$N$26="Under development","Under development",IF('NZS O&amp;G Summary'!$N$26="Not applicable", "Not Applicable"))))</f>
        <v>0</v>
      </c>
      <c r="N58" s="120">
        <f>IF('NZS O&amp;G Summary'!$O$26="Y",1,IF('NZS O&amp;G Summary'!$O$26="N",0,IF('NZS O&amp;G Summary'!$O$26="Under development","Under development",IF('NZS O&amp;G Summary'!$O$26="Not applicable", "Not Applicable"))))</f>
        <v>1</v>
      </c>
      <c r="O58" s="122"/>
      <c r="R58" s="50"/>
    </row>
    <row r="59" spans="2:18" s="40" customFormat="1" ht="15" customHeight="1" outlineLevel="2">
      <c r="B59" s="145" t="str">
        <f t="shared" si="17"/>
        <v>5.ii.c</v>
      </c>
      <c r="C59" s="126" t="s">
        <v>422</v>
      </c>
      <c r="D59" s="127" t="s">
        <v>44</v>
      </c>
      <c r="E59" s="120">
        <f>IF('NZS O&amp;G Summary'!$F$27="Y",1,IF('NZS O&amp;G Summary'!$F$27="n",0,IF('NZS O&amp;G Summary'!$F$27="Under development","Under development",IF('NZS O&amp;G Summary'!$F$27="Not applicable", "Not Applicable"))))</f>
        <v>0</v>
      </c>
      <c r="F59" s="120">
        <f>IF('NZS O&amp;G Summary'!$G$27="y",1,IF('NZS O&amp;G Summary'!$G$27="n",0,IF('NZS O&amp;G Summary'!$G$27="Under development","Under development",IF('NZS O&amp;G Summary'!$G$27="Not applicable", "Not Applicable"))))</f>
        <v>0</v>
      </c>
      <c r="G59" s="120">
        <f>IF('NZS O&amp;G Summary'!$H$27="y",1,IF('NZS O&amp;G Summary'!$H$27="n",0,IF('NZS O&amp;G Summary'!$H$27="Under development","Under development",IF('NZS O&amp;G Summary'!$H$27="Not applicable", "Not Applicable"))))</f>
        <v>0</v>
      </c>
      <c r="H59" s="120">
        <f>IF('NZS O&amp;G Summary'!$I$27="y",1,IF('NZS O&amp;G Summary'!$I$27="N",0,IF('NZS O&amp;G Summary'!$I$27="Under development","Under development",IF('NZS O&amp;G Summary'!$I$27="Not applicable", "Not Applicable"))))</f>
        <v>0</v>
      </c>
      <c r="I59" s="120">
        <f>IF('NZS O&amp;G Summary'!$J$27="Y",1,IF('NZS O&amp;G Summary'!$J$27="n",0,IF('NZS O&amp;G Summary'!$J$27="Under development","Under development",IF('NZS O&amp;G Summary'!$J$27="Not applicable", "Not Applicable"))))</f>
        <v>0</v>
      </c>
      <c r="J59" s="120">
        <f>IF('NZS O&amp;G Summary'!$K$27="Y",1,IF('NZS O&amp;G Summary'!$K$27="N",0,IF('NZS O&amp;G Summary'!$K$27="Under development","Under development",IF('NZS O&amp;G Summary'!$K$27="Not applicable", "Not Applicable"))))</f>
        <v>0</v>
      </c>
      <c r="K59" s="120">
        <f>IF('NZS O&amp;G Summary'!$L$27="Y",1,IF('NZS O&amp;G Summary'!$L$27="n",0,IF('NZS O&amp;G Summary'!$L$27="Under development","Under development",IF('NZS O&amp;G Summary'!$L$27="Not applicable", "Not Applicable"))))</f>
        <v>0</v>
      </c>
      <c r="L59" s="120">
        <f>IF('NZS O&amp;G Summary'!$M$27="Y",1,IF('NZS O&amp;G Summary'!$M$27="N",0,IF('NZS O&amp;G Summary'!$M$27="Under development","Under development",IF('NZS O&amp;G Summary'!$M$27="Not applicable", "Not Applicable"))))</f>
        <v>0</v>
      </c>
      <c r="M59" s="120">
        <f>IF('NZS O&amp;G Summary'!$N$27="Y",1,IF('NZS O&amp;G Summary'!$N$27="n",0,IF('NZS O&amp;G Summary'!$N$27="Under development","Under development",IF('NZS O&amp;G Summary'!$N$27="Not applicable", "Not Applicable"))))</f>
        <v>0</v>
      </c>
      <c r="N59" s="120">
        <f>IF('NZS O&amp;G Summary'!$O$27="Y",1,IF('NZS O&amp;G Summary'!$O$27="N",0,IF('NZS O&amp;G Summary'!$O$27="Under development","Under development",IF('NZS O&amp;G Summary'!$O$27="Not applicable", "Not Applicable"))))</f>
        <v>0</v>
      </c>
      <c r="O59" s="122"/>
      <c r="R59" s="50"/>
    </row>
    <row r="60" spans="2:18" s="40" customFormat="1" ht="15" customHeight="1" outlineLevel="2">
      <c r="B60" s="145" t="str">
        <f t="shared" si="17"/>
        <v>5.ii.d</v>
      </c>
      <c r="C60" s="126" t="s">
        <v>423</v>
      </c>
      <c r="D60" s="127" t="s">
        <v>44</v>
      </c>
      <c r="E60" s="120">
        <f>IF('NZS O&amp;G Summary'!$F$28="Y",1,IF('NZS O&amp;G Summary'!$F$28="n",0,IF('NZS O&amp;G Summary'!$F$28="Under development","Under development",IF('NZS O&amp;G Summary'!$F$28="Not applicable", "Not Applicable"))))</f>
        <v>0</v>
      </c>
      <c r="F60" s="120">
        <f>IF('NZS O&amp;G Summary'!$G$28="y",1,IF('NZS O&amp;G Summary'!$G$28="n",0,IF('NZS O&amp;G Summary'!$G$28="Under development","Under development",IF('NZS O&amp;G Summary'!$G$28="Not applicable", "Not Applicable"))))</f>
        <v>0</v>
      </c>
      <c r="G60" s="120">
        <f>IF('NZS O&amp;G Summary'!$H$28="y",1,IF('NZS O&amp;G Summary'!$H$28="n",0,IF('NZS O&amp;G Summary'!$H$28="Under development","Under development",IF('NZS O&amp;G Summary'!$H$28="Not applicable", "Not Applicable"))))</f>
        <v>0</v>
      </c>
      <c r="H60" s="120">
        <f>IF('NZS O&amp;G Summary'!$I$28="y",1,IF('NZS O&amp;G Summary'!$I$28="N",0,IF('NZS O&amp;G Summary'!$I$28="Under development","Under development",IF('NZS O&amp;G Summary'!$I$28="Not applicable", "Not Applicable"))))</f>
        <v>1</v>
      </c>
      <c r="I60" s="120">
        <f>IF('NZS O&amp;G Summary'!$J$28="Y",1,IF('NZS O&amp;G Summary'!$J$28="n",0,IF('NZS O&amp;G Summary'!$J$28="Under development","Under development",IF('NZS O&amp;G Summary'!$J$28="Not applicable", "Not Applicable"))))</f>
        <v>0</v>
      </c>
      <c r="J60" s="120">
        <f>IF('NZS O&amp;G Summary'!$K$28="Y",1,IF('NZS O&amp;G Summary'!$K$28="N",0,IF('NZS O&amp;G Summary'!$K$28="Under development","Under development",IF('NZS O&amp;G Summary'!$K$28="Not applicable", "Not Applicable"))))</f>
        <v>0</v>
      </c>
      <c r="K60" s="120">
        <f>IF('NZS O&amp;G Summary'!$L$28="Y",1,IF('NZS O&amp;G Summary'!$L$28="n",0,IF('NZS O&amp;G Summary'!$L$28="Under development","Under development",IF('NZS O&amp;G Summary'!$L$28="Not applicable", "Not Applicable"))))</f>
        <v>0</v>
      </c>
      <c r="L60" s="120">
        <f>IF('NZS O&amp;G Summary'!$M$28="Y",1,IF('NZS O&amp;G Summary'!$M$28="N",0,IF('NZS O&amp;G Summary'!$M$28="Under development","Under development",IF('NZS O&amp;G Summary'!$M$28="Not applicable", "Not Applicable"))))</f>
        <v>0</v>
      </c>
      <c r="M60" s="120">
        <f>IF('NZS O&amp;G Summary'!$N$28="Y",1,IF('NZS O&amp;G Summary'!$N$28="n",0,IF('NZS O&amp;G Summary'!$N$28="Under development","Under development",IF('NZS O&amp;G Summary'!$N$28="Not applicable", "Not Applicable"))))</f>
        <v>0</v>
      </c>
      <c r="N60" s="120">
        <f>IF('NZS O&amp;G Summary'!$O$28="Y",1,IF('NZS O&amp;G Summary'!$O$28="N",0,IF('NZS O&amp;G Summary'!$O$28="Under development","Under development",IF('NZS O&amp;G Summary'!$O$28="Not applicable", "Not Applicable"))))</f>
        <v>1</v>
      </c>
      <c r="O60" s="122"/>
      <c r="R60" s="50"/>
    </row>
    <row r="61" spans="2:18" s="40" customFormat="1" ht="15" customHeight="1" outlineLevel="2">
      <c r="B61" s="145" t="str">
        <f t="shared" si="17"/>
        <v>5.ii.e</v>
      </c>
      <c r="C61" s="126" t="s">
        <v>424</v>
      </c>
      <c r="D61" s="127" t="s">
        <v>425</v>
      </c>
      <c r="E61" s="120" t="str">
        <f>IF('NZS O&amp;G Summary'!$F$29="Y",1,IF('NZS O&amp;G Summary'!$F$29="n",0,IF('NZS O&amp;G Summary'!$F$29="Under development","Under development",IF('NZS O&amp;G Summary'!$F$29="Not applicable", "Not Applicable"))))</f>
        <v>Not Applicable</v>
      </c>
      <c r="F61" s="120" t="str">
        <f>IF('NZS O&amp;G Summary'!$G$29="y",1,IF('NZS O&amp;G Summary'!$G$29="n",0,IF('NZS O&amp;G Summary'!$G$29="Under development","Under development",IF('NZS O&amp;G Summary'!$G$29="Not applicable", "Not Applicable"))))</f>
        <v>Not Applicable</v>
      </c>
      <c r="G61" s="120" t="str">
        <f>IF('NZS O&amp;G Summary'!$H$29="y",1,IF('NZS O&amp;G Summary'!$H$29="n",0,IF('NZS O&amp;G Summary'!$H$29="Under development","Under development",IF('NZS O&amp;G Summary'!$H$29="Not applicable", "Not Applicable"))))</f>
        <v>Not Applicable</v>
      </c>
      <c r="H61" s="120" t="str">
        <f>IF('NZS O&amp;G Summary'!$I$29="y",1,IF('NZS O&amp;G Summary'!$I$29="N",0,IF('NZS O&amp;G Summary'!$I$29="Under development","Under development",IF('NZS O&amp;G Summary'!$I$29="Not applicable", "Not Applicable"))))</f>
        <v>Not Applicable</v>
      </c>
      <c r="I61" s="120">
        <f>IF('NZS O&amp;G Summary'!$J$29="Y",1,IF('NZS O&amp;G Summary'!$J$29="n",0,IF('NZS O&amp;G Summary'!$J$29="Under development","Under development",IF('NZS O&amp;G Summary'!$J$29="Not applicable", "Not Applicable"))))</f>
        <v>0</v>
      </c>
      <c r="J61" s="120">
        <f>IF('NZS O&amp;G Summary'!$K$29="Y",1,IF('NZS O&amp;G Summary'!$K$29="N",0,IF('NZS O&amp;G Summary'!$K$29="Under development","Under development",IF('NZS O&amp;G Summary'!$K$29="Not applicable", "Not Applicable"))))</f>
        <v>0</v>
      </c>
      <c r="K61" s="120">
        <f>IF('NZS O&amp;G Summary'!$L$29="Y",1,IF('NZS O&amp;G Summary'!$L$29="n",0,IF('NZS O&amp;G Summary'!$L$29="Under development","Under development",IF('NZS O&amp;G Summary'!$L$29="Not applicable", "Not Applicable"))))</f>
        <v>0</v>
      </c>
      <c r="L61" s="120" t="str">
        <f>IF('NZS O&amp;G Summary'!$M$29="Y",1,IF('NZS O&amp;G Summary'!$M$29="N",0,IF('NZS O&amp;G Summary'!$M$29="Under development","Under development",IF('NZS O&amp;G Summary'!$M$29="Not applicable", "Not Applicable"))))</f>
        <v>Not Applicable</v>
      </c>
      <c r="M61" s="120" t="str">
        <f>IF('NZS O&amp;G Summary'!$N$29="Y",1,IF('NZS O&amp;G Summary'!$N$29="n",0,IF('NZS O&amp;G Summary'!$N$29="Under development","Under development",IF('NZS O&amp;G Summary'!$N$29="Not applicable", "Not Applicable"))))</f>
        <v>Not Applicable</v>
      </c>
      <c r="N61" s="120" t="str">
        <f>IF('NZS O&amp;G Summary'!$O$29="Y",1,IF('NZS O&amp;G Summary'!$O$29="N",0,IF('NZS O&amp;G Summary'!$O$29="Under development","Under development",IF('NZS O&amp;G Summary'!$O$29="Not applicable", "Not Applicable"))))</f>
        <v>Not Applicable</v>
      </c>
      <c r="O61" s="122"/>
      <c r="R61" s="50"/>
    </row>
    <row r="62" spans="2:18" s="40" customFormat="1" ht="15" customHeight="1" outlineLevel="2">
      <c r="B62" s="145" t="str">
        <f t="shared" si="17"/>
        <v>5.ii.f</v>
      </c>
      <c r="C62" s="126" t="s">
        <v>426</v>
      </c>
      <c r="D62" s="127" t="s">
        <v>44</v>
      </c>
      <c r="E62" s="120">
        <f>IF('NZS O&amp;G Summary'!$F$30="Y",1,IF('NZS O&amp;G Summary'!$F$30="n",0,IF('NZS O&amp;G Summary'!$F$30="Under development","Under development",IF('NZS O&amp;G Summary'!$F$30="Not applicable", "Not Applicable"))))</f>
        <v>0</v>
      </c>
      <c r="F62" s="120">
        <f>IF('NZS O&amp;G Summary'!$G$30="y",1,IF('NZS O&amp;G Summary'!$G$30="n",0,IF('NZS O&amp;G Summary'!$G$30="Under development","Under development",IF('NZS O&amp;G Summary'!$G$30="Not applicable", "Not Applicable"))))</f>
        <v>0</v>
      </c>
      <c r="G62" s="120">
        <f>IF('NZS O&amp;G Summary'!$H$30="y",1,IF('NZS O&amp;G Summary'!$H$30="n",0,IF('NZS O&amp;G Summary'!$H$30="Under development","Under development",IF('NZS O&amp;G Summary'!$H$30="Not applicable", "Not Applicable"))))</f>
        <v>0</v>
      </c>
      <c r="H62" s="120">
        <f>IF('NZS O&amp;G Summary'!$I$30="y",1,IF('NZS O&amp;G Summary'!$I$30="N",0,IF('NZS O&amp;G Summary'!$I$30="Under development","Under development",IF('NZS O&amp;G Summary'!$I$30="Not applicable", "Not Applicable"))))</f>
        <v>0</v>
      </c>
      <c r="I62" s="120">
        <f>IF('NZS O&amp;G Summary'!$J$30="Y",1,IF('NZS O&amp;G Summary'!$J$30="n",0,IF('NZS O&amp;G Summary'!$J$30="Under development","Under development",IF('NZS O&amp;G Summary'!$J$30="Not applicable", "Not Applicable"))))</f>
        <v>0</v>
      </c>
      <c r="J62" s="120">
        <f>IF('NZS O&amp;G Summary'!$K$30="Y",1,IF('NZS O&amp;G Summary'!$K$30="N",0,IF('NZS O&amp;G Summary'!$K$30="Under development","Under development",IF('NZS O&amp;G Summary'!$K$30="Not applicable", "Not Applicable"))))</f>
        <v>0</v>
      </c>
      <c r="K62" s="120">
        <f>IF('NZS O&amp;G Summary'!$L$30="Y",1,IF('NZS O&amp;G Summary'!$L$30="n",0,IF('NZS O&amp;G Summary'!$L$30="Under development","Under development",IF('NZS O&amp;G Summary'!$L$30="Not applicable", "Not Applicable"))))</f>
        <v>0</v>
      </c>
      <c r="L62" s="120">
        <f>IF('NZS O&amp;G Summary'!$M$30="Y",1,IF('NZS O&amp;G Summary'!$M$30="N",0,IF('NZS O&amp;G Summary'!$M$30="Under development","Under development",IF('NZS O&amp;G Summary'!$M$30="Not applicable", "Not Applicable"))))</f>
        <v>0</v>
      </c>
      <c r="M62" s="120">
        <f>IF('NZS O&amp;G Summary'!$N$30="Y",1,IF('NZS O&amp;G Summary'!$N$30="n",0,IF('NZS O&amp;G Summary'!$N$30="Under development","Under development",IF('NZS O&amp;G Summary'!$N$30="Not applicable", "Not Applicable"))))</f>
        <v>0</v>
      </c>
      <c r="N62" s="120">
        <f>IF('NZS O&amp;G Summary'!$O$30="Y",1,IF('NZS O&amp;G Summary'!$O$30="N",0,IF('NZS O&amp;G Summary'!$O$30="Under development","Under development",IF('NZS O&amp;G Summary'!$O$30="Not applicable", "Not Applicable"))))</f>
        <v>1</v>
      </c>
      <c r="O62" s="122"/>
      <c r="R62" s="50"/>
    </row>
    <row r="63" spans="2:18" s="40" customFormat="1" ht="15" customHeight="1" outlineLevel="2">
      <c r="B63" s="145" t="str">
        <f t="shared" si="17"/>
        <v>5.ii.g</v>
      </c>
      <c r="C63" s="126" t="s">
        <v>427</v>
      </c>
      <c r="D63" s="127" t="s">
        <v>44</v>
      </c>
      <c r="E63" s="120">
        <f>IF('NZS O&amp;G Summary'!$F$31="Y",1,IF('NZS O&amp;G Summary'!$F$31="n",0,IF('NZS O&amp;G Summary'!$F$31="Under development","Under development",IF('NZS O&amp;G Summary'!$F$31="Not applicable", "Not Applicable"))))</f>
        <v>0</v>
      </c>
      <c r="F63" s="120">
        <f>IF('NZS O&amp;G Summary'!$G$31="y",1,IF('NZS O&amp;G Summary'!$G$31="n",0,IF('NZS O&amp;G Summary'!$G$31="Under development","Under development",IF('NZS O&amp;G Summary'!$G$31="Not applicable", "Not Applicable"))))</f>
        <v>0</v>
      </c>
      <c r="G63" s="120">
        <f>IF('NZS O&amp;G Summary'!$H$31="y",1,IF('NZS O&amp;G Summary'!$H$31="n",0,IF('NZS O&amp;G Summary'!$H$31="Under development","Under development",IF('NZS O&amp;G Summary'!$H$31="Not applicable", "Not Applicable"))))</f>
        <v>0</v>
      </c>
      <c r="H63" s="120">
        <f>IF('NZS O&amp;G Summary'!$I$31="y",1,IF('NZS O&amp;G Summary'!$I$31="N",0,IF('NZS O&amp;G Summary'!$I$31="Under development","Under development",IF('NZS O&amp;G Summary'!$I$31="Not applicable", "Not Applicable"))))</f>
        <v>0</v>
      </c>
      <c r="I63" s="120">
        <f>IF('NZS O&amp;G Summary'!$J$31="Y",1,IF('NZS O&amp;G Summary'!$J$31="n",0,IF('NZS O&amp;G Summary'!$J$31="Under development","Under development",IF('NZS O&amp;G Summary'!$J$31="Not applicable", "Not Applicable"))))</f>
        <v>0</v>
      </c>
      <c r="J63" s="120">
        <f>IF('NZS O&amp;G Summary'!$K$31="Y",1,IF('NZS O&amp;G Summary'!$K$31="N",0,IF('NZS O&amp;G Summary'!$K$31="Under development","Under development",IF('NZS O&amp;G Summary'!$K$31="Not applicable", "Not Applicable"))))</f>
        <v>1</v>
      </c>
      <c r="K63" s="120">
        <f>IF('NZS O&amp;G Summary'!$L$31="Y",1,IF('NZS O&amp;G Summary'!$L$31="n",0,IF('NZS O&amp;G Summary'!$L$31="Under development","Under development",IF('NZS O&amp;G Summary'!$L$31="Not applicable", "Not Applicable"))))</f>
        <v>0</v>
      </c>
      <c r="L63" s="120">
        <f>IF('NZS O&amp;G Summary'!$M$31="Y",1,IF('NZS O&amp;G Summary'!$M$31="N",0,IF('NZS O&amp;G Summary'!$M$31="Under development","Under development",IF('NZS O&amp;G Summary'!$M$31="Not applicable", "Not Applicable"))))</f>
        <v>0</v>
      </c>
      <c r="M63" s="120">
        <f>IF('NZS O&amp;G Summary'!$N$31="Y",1,IF('NZS O&amp;G Summary'!$N$31="n",0,IF('NZS O&amp;G Summary'!$N$31="Under development","Under development",IF('NZS O&amp;G Summary'!$N$31="Not applicable", "Not Applicable"))))</f>
        <v>0</v>
      </c>
      <c r="N63" s="120">
        <f>IF('NZS O&amp;G Summary'!$O$31="Y",1,IF('NZS O&amp;G Summary'!$O$31="N",0,IF('NZS O&amp;G Summary'!$O$31="Under development","Under development",IF('NZS O&amp;G Summary'!$O$31="Not applicable", "Not Applicable"))))</f>
        <v>0</v>
      </c>
      <c r="O63" s="122"/>
      <c r="R63" s="50"/>
    </row>
    <row r="64" spans="2:18" s="40" customFormat="1" ht="15" customHeight="1" outlineLevel="2">
      <c r="B64" s="145" t="str">
        <f t="shared" si="17"/>
        <v>5.ii.h</v>
      </c>
      <c r="C64" s="126" t="s">
        <v>428</v>
      </c>
      <c r="D64" s="127" t="s">
        <v>44</v>
      </c>
      <c r="E64" s="120">
        <f>IF('NZS O&amp;G Summary'!$F$32="Y",1,IF('NZS O&amp;G Summary'!$F$32="n",0,IF('NZS O&amp;G Summary'!$F$32="Under development","Under development",IF('NZS O&amp;G Summary'!$F$32="Not applicable", "Not Applicable"))))</f>
        <v>1</v>
      </c>
      <c r="F64" s="120">
        <f>IF('NZS O&amp;G Summary'!$G$32="y",1,IF('NZS O&amp;G Summary'!$G$32="n",0,IF('NZS O&amp;G Summary'!$G$32="Under development","Under development",IF('NZS O&amp;G Summary'!$G$32="Not applicable", "Not Applicable"))))</f>
        <v>0</v>
      </c>
      <c r="G64" s="120">
        <f>IF('NZS O&amp;G Summary'!$H$32="y",1,IF('NZS O&amp;G Summary'!$H$32="n",0,IF('NZS O&amp;G Summary'!$H$32="Under development","Under development",IF('NZS O&amp;G Summary'!$H$32="Not applicable", "Not Applicable"))))</f>
        <v>0</v>
      </c>
      <c r="H64" s="120">
        <f>IF('NZS O&amp;G Summary'!$I$32="y",1,IF('NZS O&amp;G Summary'!$I$32="N",0,IF('NZS O&amp;G Summary'!$I$32="Under development","Under development",IF('NZS O&amp;G Summary'!$I$32="Not applicable", "Not Applicable"))))</f>
        <v>1</v>
      </c>
      <c r="I64" s="120">
        <f>IF('NZS O&amp;G Summary'!$J$32="Y",1,IF('NZS O&amp;G Summary'!$J$32="n",0,IF('NZS O&amp;G Summary'!$J$32="Under development","Under development",IF('NZS O&amp;G Summary'!$J$32="Not applicable", "Not Applicable"))))</f>
        <v>0</v>
      </c>
      <c r="J64" s="120">
        <f>IF('NZS O&amp;G Summary'!$K$32="Y",1,IF('NZS O&amp;G Summary'!$K$32="N",0,IF('NZS O&amp;G Summary'!$K$32="Under development","Under development",IF('NZS O&amp;G Summary'!$K$32="Not applicable", "Not Applicable"))))</f>
        <v>0</v>
      </c>
      <c r="K64" s="120">
        <f>IF('NZS O&amp;G Summary'!$L$32="Y",1,IF('NZS O&amp;G Summary'!$L$32="n",0,IF('NZS O&amp;G Summary'!$L$32="Under development","Under development",IF('NZS O&amp;G Summary'!$L$32="Not applicable", "Not Applicable"))))</f>
        <v>1</v>
      </c>
      <c r="L64" s="120">
        <f>IF('NZS O&amp;G Summary'!$M$32="Y",1,IF('NZS O&amp;G Summary'!$M$32="N",0,IF('NZS O&amp;G Summary'!$M$32="Under development","Under development",IF('NZS O&amp;G Summary'!$M$32="Not applicable", "Not Applicable"))))</f>
        <v>0</v>
      </c>
      <c r="M64" s="120">
        <f>IF('NZS O&amp;G Summary'!$N$32="Y",1,IF('NZS O&amp;G Summary'!$N$32="n",0,IF('NZS O&amp;G Summary'!$N$32="Under development","Under development",IF('NZS O&amp;G Summary'!$N$32="Not applicable", "Not Applicable"))))</f>
        <v>0</v>
      </c>
      <c r="N64" s="120">
        <f>IF('NZS O&amp;G Summary'!$O$32="Y",1,IF('NZS O&amp;G Summary'!$O$32="N",0,IF('NZS O&amp;G Summary'!$O$32="Under development","Under development",IF('NZS O&amp;G Summary'!$O$32="Not applicable", "Not Applicable"))))</f>
        <v>1</v>
      </c>
      <c r="O64" s="122"/>
      <c r="R64" s="50"/>
    </row>
    <row r="65" spans="2:18" s="40" customFormat="1" ht="15" customHeight="1" outlineLevel="2">
      <c r="B65" s="145" t="str">
        <f t="shared" si="17"/>
        <v>5.ii.i</v>
      </c>
      <c r="C65" s="126" t="s">
        <v>429</v>
      </c>
      <c r="D65" s="127" t="s">
        <v>44</v>
      </c>
      <c r="E65" s="120" t="str">
        <f>IF('NZS O&amp;G Summary'!$F$33="Y",1,IF('NZS O&amp;G Summary'!$F$33="n",0,IF('NZS O&amp;G Summary'!$F$33="Under development","Under development",IF('NZS O&amp;G Summary'!$F$33="Not applicable", "Not Applicable"))))</f>
        <v>Not Applicable</v>
      </c>
      <c r="F65" s="120" t="str">
        <f>IF('NZS O&amp;G Summary'!$G$33="y",1,IF('NZS O&amp;G Summary'!$G$33="n",0,IF('NZS O&amp;G Summary'!$G$33="Under development","Under development",IF('NZS O&amp;G Summary'!$G$33="Not applicable", "Not Applicable"))))</f>
        <v>Not Applicable</v>
      </c>
      <c r="G65" s="120" t="str">
        <f>IF('NZS O&amp;G Summary'!$H$33="y",1,IF('NZS O&amp;G Summary'!$H$33="n",0,IF('NZS O&amp;G Summary'!$H$33="Under development","Under development",IF('NZS O&amp;G Summary'!$H$33="Not applicable", "Not Applicable"))))</f>
        <v>Not Applicable</v>
      </c>
      <c r="H65" s="120" t="str">
        <f>IF('NZS O&amp;G Summary'!$I$33="y",1,IF('NZS O&amp;G Summary'!$I$33="N",0,IF('NZS O&amp;G Summary'!$I$33="Under development","Under development",IF('NZS O&amp;G Summary'!$I$33="Not applicable", "Not Applicable"))))</f>
        <v>Not Applicable</v>
      </c>
      <c r="I65" s="120">
        <f>IF('NZS O&amp;G Summary'!$J$33="Y",1,IF('NZS O&amp;G Summary'!$J$33="n",0,IF('NZS O&amp;G Summary'!$J$33="Under development","Under development",IF('NZS O&amp;G Summary'!$J$33="Not applicable", "Not Applicable"))))</f>
        <v>0</v>
      </c>
      <c r="J65" s="120">
        <f>IF('NZS O&amp;G Summary'!$K$33="Y",1,IF('NZS O&amp;G Summary'!$K$33="N",0,IF('NZS O&amp;G Summary'!$K$33="Under development","Under development",IF('NZS O&amp;G Summary'!$K$33="Not applicable", "Not Applicable"))))</f>
        <v>0</v>
      </c>
      <c r="K65" s="120">
        <f>IF('NZS O&amp;G Summary'!$L$33="Y",1,IF('NZS O&amp;G Summary'!$L$33="n",0,IF('NZS O&amp;G Summary'!$L$33="Under development","Under development",IF('NZS O&amp;G Summary'!$L$33="Not applicable", "Not Applicable"))))</f>
        <v>1</v>
      </c>
      <c r="L65" s="120" t="str">
        <f>IF('NZS O&amp;G Summary'!$M$33="Y",1,IF('NZS O&amp;G Summary'!$M$33="N",0,IF('NZS O&amp;G Summary'!$M$33="Under development","Under development",IF('NZS O&amp;G Summary'!$M$33="Not applicable", "Not Applicable"))))</f>
        <v>Not Applicable</v>
      </c>
      <c r="M65" s="120" t="str">
        <f>IF('NZS O&amp;G Summary'!$N$33="Y",1,IF('NZS O&amp;G Summary'!$N$33="n",0,IF('NZS O&amp;G Summary'!$N$33="Under development","Under development",IF('NZS O&amp;G Summary'!$N$33="Not applicable", "Not Applicable"))))</f>
        <v>Not Applicable</v>
      </c>
      <c r="N65" s="120" t="str">
        <f>IF('NZS O&amp;G Summary'!$O$33="Y",1,IF('NZS O&amp;G Summary'!$O$33="N",0,IF('NZS O&amp;G Summary'!$O$33="Under development","Under development",IF('NZS O&amp;G Summary'!$O$33="Not applicable", "Not Applicable"))))</f>
        <v>Not Applicable</v>
      </c>
      <c r="O65" s="122"/>
      <c r="R65" s="50"/>
    </row>
    <row r="66" spans="2:18" s="40" customFormat="1" ht="15" customHeight="1" outlineLevel="2">
      <c r="B66" s="145" t="str">
        <f t="shared" si="17"/>
        <v>5.ii.j</v>
      </c>
      <c r="C66" s="126" t="s">
        <v>430</v>
      </c>
      <c r="D66" s="127" t="s">
        <v>44</v>
      </c>
      <c r="E66" s="120">
        <f>IF('NZS O&amp;G Summary'!$F$34="Y",1,IF('NZS O&amp;G Summary'!$F$34="n",0,IF('NZS O&amp;G Summary'!$F$34="Under development","Under development",IF('NZS O&amp;G Summary'!$F$34="Not applicable", "Not Applicable"))))</f>
        <v>0</v>
      </c>
      <c r="F66" s="120">
        <f>IF('NZS O&amp;G Summary'!$G$34="y",1,IF('NZS O&amp;G Summary'!$G$34="n",0,IF('NZS O&amp;G Summary'!$G$34="Under development","Under development",IF('NZS O&amp;G Summary'!$G$34="Not applicable", "Not Applicable"))))</f>
        <v>0</v>
      </c>
      <c r="G66" s="120">
        <f>IF('NZS O&amp;G Summary'!$H$34="y",1,IF('NZS O&amp;G Summary'!$H$34="n",0,IF('NZS O&amp;G Summary'!$H$34="Under development","Under development",IF('NZS O&amp;G Summary'!$H$34="Not applicable", "Not Applicable"))))</f>
        <v>0</v>
      </c>
      <c r="H66" s="120">
        <f>IF('NZS O&amp;G Summary'!$I$34="y",1,IF('NZS O&amp;G Summary'!$I$34="N",0,IF('NZS O&amp;G Summary'!$I$34="Under development","Under development",IF('NZS O&amp;G Summary'!$I$34="Not applicable", "Not Applicable"))))</f>
        <v>0</v>
      </c>
      <c r="I66" s="120">
        <f>IF('NZS O&amp;G Summary'!$J$34="Y",1,IF('NZS O&amp;G Summary'!$J$34="n",0,IF('NZS O&amp;G Summary'!$J$34="Under development","Under development",IF('NZS O&amp;G Summary'!$J$34="Not applicable", "Not Applicable"))))</f>
        <v>0</v>
      </c>
      <c r="J66" s="120">
        <f>IF('NZS O&amp;G Summary'!$K$34="Y",1,IF('NZS O&amp;G Summary'!$K$34="N",0,IF('NZS O&amp;G Summary'!$K$34="Under development","Under development",IF('NZS O&amp;G Summary'!$K$34="Not applicable", "Not Applicable"))))</f>
        <v>0</v>
      </c>
      <c r="K66" s="120">
        <f>IF('NZS O&amp;G Summary'!$L$34="Y",1,IF('NZS O&amp;G Summary'!$L$34="n",0,IF('NZS O&amp;G Summary'!$L$34="Under development","Under development",IF('NZS O&amp;G Summary'!$L$34="Not applicable", "Not Applicable"))))</f>
        <v>0</v>
      </c>
      <c r="L66" s="120">
        <f>IF('NZS O&amp;G Summary'!$M$34="Y",1,IF('NZS O&amp;G Summary'!$M$34="N",0,IF('NZS O&amp;G Summary'!$M$34="Under development","Under development",IF('NZS O&amp;G Summary'!$M$34="Not applicable", "Not Applicable"))))</f>
        <v>1</v>
      </c>
      <c r="M66" s="120">
        <f>IF('NZS O&amp;G Summary'!$N$34="Y",1,IF('NZS O&amp;G Summary'!$N$34="n",0,IF('NZS O&amp;G Summary'!$N$34="Under development","Under development",IF('NZS O&amp;G Summary'!$N$34="Not applicable", "Not Applicable"))))</f>
        <v>0</v>
      </c>
      <c r="N66" s="120">
        <f>IF('NZS O&amp;G Summary'!$O$34="Y",1,IF('NZS O&amp;G Summary'!$O$34="N",0,IF('NZS O&amp;G Summary'!$O$34="Under development","Under development",IF('NZS O&amp;G Summary'!$O$34="Not applicable", "Not Applicable"))))</f>
        <v>1</v>
      </c>
      <c r="O66" s="122"/>
      <c r="R66" s="50"/>
    </row>
    <row r="67" spans="2:18" s="40" customFormat="1" ht="15" customHeight="1" outlineLevel="2">
      <c r="B67" s="145" t="str">
        <f t="shared" si="17"/>
        <v>5.ii.k</v>
      </c>
      <c r="C67" s="126" t="s">
        <v>431</v>
      </c>
      <c r="D67" s="127" t="s">
        <v>44</v>
      </c>
      <c r="E67" s="120" t="str">
        <f>IF('NZS O&amp;G Summary'!$F$35="Y",1,IF('NZS O&amp;G Summary'!$F$35="n",0,IF('NZS O&amp;G Summary'!$F$35="Under development","Under development",IF('NZS O&amp;G Summary'!$F$35="Not applicable", "Not Applicable"))))</f>
        <v>Not Applicable</v>
      </c>
      <c r="F67" s="120">
        <f>IF('NZS O&amp;G Summary'!$G$35="y",1,IF('NZS O&amp;G Summary'!$G$35="n",0,IF('NZS O&amp;G Summary'!$G$35="Under development","Under development",IF('NZS O&amp;G Summary'!$G$35="Not applicable", "Not Applicable"))))</f>
        <v>0</v>
      </c>
      <c r="G67" s="120">
        <f>IF('NZS O&amp;G Summary'!$H$35="y",1,IF('NZS O&amp;G Summary'!$H$35="n",0,IF('NZS O&amp;G Summary'!$H$35="Under development","Under development",IF('NZS O&amp;G Summary'!$H$35="Not applicable", "Not Applicable"))))</f>
        <v>0</v>
      </c>
      <c r="H67" s="120">
        <f>IF('NZS O&amp;G Summary'!$I$35="y",1,IF('NZS O&amp;G Summary'!$I$35="N",0,IF('NZS O&amp;G Summary'!$I$35="Under development","Under development",IF('NZS O&amp;G Summary'!$I$35="Not applicable", "Not Applicable"))))</f>
        <v>0</v>
      </c>
      <c r="I67" s="120">
        <f>IF('NZS O&amp;G Summary'!$J$35="Y",1,IF('NZS O&amp;G Summary'!$J$35="n",0,IF('NZS O&amp;G Summary'!$J$35="Under development","Under development",IF('NZS O&amp;G Summary'!$J$35="Not applicable", "Not Applicable"))))</f>
        <v>0</v>
      </c>
      <c r="J67" s="120">
        <f>IF('NZS O&amp;G Summary'!$K$35="Y",1,IF('NZS O&amp;G Summary'!$K$35="N",0,IF('NZS O&amp;G Summary'!$K$35="Under development","Under development",IF('NZS O&amp;G Summary'!$K$35="Not applicable", "Not Applicable"))))</f>
        <v>0</v>
      </c>
      <c r="K67" s="120">
        <f>IF('NZS O&amp;G Summary'!$L$35="Y",1,IF('NZS O&amp;G Summary'!$L$35="n",0,IF('NZS O&amp;G Summary'!$L$35="Under development","Under development",IF('NZS O&amp;G Summary'!$L$35="Not applicable", "Not Applicable"))))</f>
        <v>0</v>
      </c>
      <c r="L67" s="120">
        <f>IF('NZS O&amp;G Summary'!$M$35="Y",1,IF('NZS O&amp;G Summary'!$M$35="N",0,IF('NZS O&amp;G Summary'!$M$35="Under development","Under development",IF('NZS O&amp;G Summary'!$M$35="Not applicable", "Not Applicable"))))</f>
        <v>0</v>
      </c>
      <c r="M67" s="120">
        <f>IF('NZS O&amp;G Summary'!$N$35="Y",1,IF('NZS O&amp;G Summary'!$N$35="n",0,IF('NZS O&amp;G Summary'!$N$35="Under development","Under development",IF('NZS O&amp;G Summary'!$N$35="Not applicable", "Not Applicable"))))</f>
        <v>0</v>
      </c>
      <c r="N67" s="120">
        <f>IF('NZS O&amp;G Summary'!$O$35="Y",1,IF('NZS O&amp;G Summary'!$O$35="N",0,IF('NZS O&amp;G Summary'!$O$35="Under development","Under development",IF('NZS O&amp;G Summary'!$O$35="Not applicable", "Not Applicable"))))</f>
        <v>0</v>
      </c>
      <c r="O67" s="122"/>
      <c r="R67" s="50"/>
    </row>
    <row r="68" spans="2:18" s="40" customFormat="1" ht="15" customHeight="1" outlineLevel="2">
      <c r="B68" s="145" t="str">
        <f t="shared" si="17"/>
        <v>5.ii.l</v>
      </c>
      <c r="C68" s="126" t="s">
        <v>432</v>
      </c>
      <c r="D68" s="127" t="s">
        <v>44</v>
      </c>
      <c r="E68" s="120">
        <f>IF('NZS O&amp;G Summary'!$F$36="Y",1,IF('NZS O&amp;G Summary'!$F$36="n",0,IF('NZS O&amp;G Summary'!$F$36="Under development","Under development",IF('NZS O&amp;G Summary'!$F$36="Not applicable", "Not Applicable"))))</f>
        <v>0</v>
      </c>
      <c r="F68" s="120">
        <f>IF('NZS O&amp;G Summary'!$G$36="y",1,IF('NZS O&amp;G Summary'!$G$36="n",0,IF('NZS O&amp;G Summary'!$G$36="Under development","Under development",IF('NZS O&amp;G Summary'!$G$36="Not applicable", "Not Applicable"))))</f>
        <v>0</v>
      </c>
      <c r="G68" s="120">
        <f>IF('NZS O&amp;G Summary'!$H$36="y",1,IF('NZS O&amp;G Summary'!$H$36="n",0,IF('NZS O&amp;G Summary'!$H$36="Under development","Under development",IF('NZS O&amp;G Summary'!$H$36="Not applicable", "Not Applicable"))))</f>
        <v>0</v>
      </c>
      <c r="H68" s="120">
        <f>IF('NZS O&amp;G Summary'!$I$36="y",1,IF('NZS O&amp;G Summary'!$I$36="N",0,IF('NZS O&amp;G Summary'!$I$36="Under development","Under development",IF('NZS O&amp;G Summary'!$I$36="Not applicable", "Not Applicable"))))</f>
        <v>0</v>
      </c>
      <c r="I68" s="120">
        <f>IF('NZS O&amp;G Summary'!$J$36="Y",1,IF('NZS O&amp;G Summary'!$J$36="n",0,IF('NZS O&amp;G Summary'!$J$36="Under development","Under development",IF('NZS O&amp;G Summary'!$J$36="Not applicable", "Not Applicable"))))</f>
        <v>0</v>
      </c>
      <c r="J68" s="120">
        <f>IF('NZS O&amp;G Summary'!$K$36="Y",1,IF('NZS O&amp;G Summary'!$K$36="N",0,IF('NZS O&amp;G Summary'!$K$36="Under development","Under development",IF('NZS O&amp;G Summary'!$K$36="Not applicable", "Not Applicable"))))</f>
        <v>0</v>
      </c>
      <c r="K68" s="120">
        <f>IF('NZS O&amp;G Summary'!$L$36="Y",1,IF('NZS O&amp;G Summary'!$L$36="n",0,IF('NZS O&amp;G Summary'!$L$36="Under development","Under development",IF('NZS O&amp;G Summary'!$L$36="Not applicable", "Not Applicable"))))</f>
        <v>0</v>
      </c>
      <c r="L68" s="120">
        <f>IF('NZS O&amp;G Summary'!$M$36="Y",1,IF('NZS O&amp;G Summary'!$M$36="N",0,IF('NZS O&amp;G Summary'!$M$36="Under development","Under development",IF('NZS O&amp;G Summary'!$M$36="Not applicable", "Not Applicable"))))</f>
        <v>0</v>
      </c>
      <c r="M68" s="120">
        <f>IF('NZS O&amp;G Summary'!$N$36="Y",1,IF('NZS O&amp;G Summary'!$N$36="n",0,IF('NZS O&amp;G Summary'!$N$36="Under development","Under development",IF('NZS O&amp;G Summary'!$N$36="Not applicable", "Not Applicable"))))</f>
        <v>0</v>
      </c>
      <c r="N68" s="120">
        <f>IF('NZS O&amp;G Summary'!$O$36="Y",1,IF('NZS O&amp;G Summary'!$O$36="N",0,IF('NZS O&amp;G Summary'!$O$36="Under development","Under development",IF('NZS O&amp;G Summary'!$O$36="Not applicable", "Not Applicable"))))</f>
        <v>0</v>
      </c>
      <c r="O68" s="122"/>
      <c r="R68" s="50"/>
    </row>
    <row r="69" spans="2:18" s="40" customFormat="1" ht="15" customHeight="1" outlineLevel="2">
      <c r="B69" s="145" t="str">
        <f t="shared" si="17"/>
        <v>5.ii.m</v>
      </c>
      <c r="C69" s="126" t="s">
        <v>433</v>
      </c>
      <c r="D69" s="127" t="s">
        <v>44</v>
      </c>
      <c r="E69" s="120">
        <f>IF('NZS O&amp;G Summary'!$F$37="Y",1,IF('NZS O&amp;G Summary'!$F$37="n",0,IF('NZS O&amp;G Summary'!$F$37="Under development","Under development",IF('NZS O&amp;G Summary'!$F$37="Not applicable", "Not Applicable"))))</f>
        <v>0</v>
      </c>
      <c r="F69" s="120">
        <f>IF('NZS O&amp;G Summary'!$G$37="y",1,IF('NZS O&amp;G Summary'!$G$37="n",0,IF('NZS O&amp;G Summary'!$G$37="Under development","Under development",IF('NZS O&amp;G Summary'!$G$37="Not applicable", "Not Applicable"))))</f>
        <v>0</v>
      </c>
      <c r="G69" s="120">
        <f>IF('NZS O&amp;G Summary'!$H$37="y",1,IF('NZS O&amp;G Summary'!$H$37="n",0,IF('NZS O&amp;G Summary'!$H$37="Under development","Under development",IF('NZS O&amp;G Summary'!$H$37="Not applicable", "Not Applicable"))))</f>
        <v>0</v>
      </c>
      <c r="H69" s="120">
        <f>IF('NZS O&amp;G Summary'!$I$37="y",1,IF('NZS O&amp;G Summary'!$I$37="N",0,IF('NZS O&amp;G Summary'!$I$37="Under development","Under development",IF('NZS O&amp;G Summary'!$I$37="Not applicable", "Not Applicable"))))</f>
        <v>0</v>
      </c>
      <c r="I69" s="120">
        <f>IF('NZS O&amp;G Summary'!$J$37="Y",1,IF('NZS O&amp;G Summary'!$J$37="n",0,IF('NZS O&amp;G Summary'!$J$37="Under development","Under development",IF('NZS O&amp;G Summary'!$J$37="Not applicable", "Not Applicable"))))</f>
        <v>0</v>
      </c>
      <c r="J69" s="120">
        <f>IF('NZS O&amp;G Summary'!$K$37="Y",1,IF('NZS O&amp;G Summary'!$K$37="N",0,IF('NZS O&amp;G Summary'!$K$37="Under development","Under development",IF('NZS O&amp;G Summary'!$K$37="Not applicable", "Not Applicable"))))</f>
        <v>0</v>
      </c>
      <c r="K69" s="120">
        <f>IF('NZS O&amp;G Summary'!$L$37="Y",1,IF('NZS O&amp;G Summary'!$L$37="n",0,IF('NZS O&amp;G Summary'!$L$37="Under development","Under development",IF('NZS O&amp;G Summary'!$L$37="Not applicable", "Not Applicable"))))</f>
        <v>0</v>
      </c>
      <c r="L69" s="120">
        <f>IF('NZS O&amp;G Summary'!$M$37="Y",1,IF('NZS O&amp;G Summary'!$M$37="N",0,IF('NZS O&amp;G Summary'!$M$37="Under development","Under development",IF('NZS O&amp;G Summary'!$M$37="Not applicable", "Not Applicable"))))</f>
        <v>0</v>
      </c>
      <c r="M69" s="120">
        <f>IF('NZS O&amp;G Summary'!$N$37="Y",1,IF('NZS O&amp;G Summary'!$N$37="n",0,IF('NZS O&amp;G Summary'!$N$37="Under development","Under development",IF('NZS O&amp;G Summary'!$N$37="Not applicable", "Not Applicable"))))</f>
        <v>0</v>
      </c>
      <c r="N69" s="120">
        <f>IF('NZS O&amp;G Summary'!$O$37="Y",1,IF('NZS O&amp;G Summary'!$O$37="N",0,IF('NZS O&amp;G Summary'!$O$37="Under development","Under development",IF('NZS O&amp;G Summary'!$O$37="Not applicable", "Not Applicable"))))</f>
        <v>0</v>
      </c>
      <c r="O69" s="122"/>
      <c r="R69" s="50"/>
    </row>
    <row r="70" spans="2:18" s="40" customFormat="1" ht="15" customHeight="1" outlineLevel="1">
      <c r="B70" s="145">
        <v>5.2</v>
      </c>
      <c r="C70" s="91" t="s">
        <v>434</v>
      </c>
      <c r="D70" s="119" t="str">
        <f>IF(ISBLANK(VLOOKUP(B70, [1]BP!$A$8:$E$191, 5, FALSE)), "", VLOOKUP(B70, [1]BP!$A$8:$E$191, 5, FALSE))</f>
        <v/>
      </c>
      <c r="E70" s="120">
        <f t="shared" ref="E70:N70" si="18">SUM(E71,E72,E73,E74,E75,E76,E77,E78,E79,E80)/COUNT(E71,E72,E73,E74,E75,E76,E77,E78,E79,E80)</f>
        <v>0</v>
      </c>
      <c r="F70" s="120">
        <f t="shared" si="18"/>
        <v>0</v>
      </c>
      <c r="G70" s="120">
        <f t="shared" si="18"/>
        <v>0</v>
      </c>
      <c r="H70" s="120">
        <f t="shared" si="18"/>
        <v>0.3</v>
      </c>
      <c r="I70" s="120">
        <f t="shared" si="18"/>
        <v>0</v>
      </c>
      <c r="J70" s="120">
        <f t="shared" si="18"/>
        <v>0</v>
      </c>
      <c r="K70" s="120">
        <f t="shared" si="18"/>
        <v>0.4</v>
      </c>
      <c r="L70" s="120">
        <f t="shared" si="18"/>
        <v>0.3</v>
      </c>
      <c r="M70" s="120">
        <f t="shared" si="18"/>
        <v>0</v>
      </c>
      <c r="N70" s="120">
        <f t="shared" si="18"/>
        <v>1</v>
      </c>
      <c r="O70" s="122"/>
      <c r="R70" s="50"/>
    </row>
    <row r="71" spans="2:18" s="40" customFormat="1" ht="15" customHeight="1" outlineLevel="2">
      <c r="B71" s="145" t="str">
        <f t="shared" si="16"/>
        <v>5.2.a</v>
      </c>
      <c r="C71" s="93" t="s">
        <v>435</v>
      </c>
      <c r="D71" s="119" t="s">
        <v>46</v>
      </c>
      <c r="E71" s="120">
        <f>IF('CA100 2023 Scores'!$E$36="y",1,IF('CA100 2023 Scores'!$E$36="N",0,IF('CA100 2023 Scores'!$E$36="Partial",0.5,IF('CA100 2023 Scores'!$E$36="Not assessed","Under development"))))</f>
        <v>0</v>
      </c>
      <c r="F71" s="120">
        <f>IF('CA100 2023 Scores'!$F$36="y",1,IF('CA100 2023 Scores'!$F$36="N",0,IF('CA100 2023 Scores'!$F$36="Partial",0.5,IF('CA100 2023 Scores'!$F$36="Not assessed","Under development"))))</f>
        <v>0</v>
      </c>
      <c r="G71" s="120">
        <f>IF('CA100 2023 Scores'!$G$36="y",1,IF('CA100 2023 Scores'!$G$36="N",0,IF('CA100 2023 Scores'!$G$36="Partial",0.5,IF('CA100 2023 Scores'!$G$36="Not assessed","Under development"))))</f>
        <v>0</v>
      </c>
      <c r="H71" s="120">
        <f>IF('CA100 2023 Scores'!$H$36="y",1,IF('CA100 2023 Scores'!$H$36="N",0,IF('CA100 2023 Scores'!$H$36="Partial",0.5,IF('CA100 2023 Scores'!$H$36="Not assessed","Under development"))))</f>
        <v>1</v>
      </c>
      <c r="I71" s="120">
        <f>IF('CA100 2023 Scores'!$I$36="y",1,IF('CA100 2023 Scores'!$I$36="N",0,IF('CA100 2023 Scores'!$I$36="Partial",0.5,IF('CA100 2023 Scores'!$I$36="Not assessed","Under development"))))</f>
        <v>0</v>
      </c>
      <c r="J71" s="120">
        <f>IF('CA100 2023 Scores'!$J$36="y",1,IF('CA100 2023 Scores'!$J$36="N",0,IF('CA100 2023 Scores'!$J$36="Partial",0.5,IF('CA100 2023 Scores'!$J$36="Not assessed","Under development"))))</f>
        <v>0</v>
      </c>
      <c r="K71" s="120">
        <f>IF('CA100 2023 Scores'!$K$36="y",1,IF('CA100 2023 Scores'!$K$36="N",0,IF('CA100 2023 Scores'!$K$36="Partial",0.5,IF('CA100 2023 Scores'!$K$36="Not assessed","Under development"))))</f>
        <v>1</v>
      </c>
      <c r="L71" s="120">
        <f>IF('CA100 2023 Scores'!$L$36="y",1,IF('CA100 2023 Scores'!$L$36="N",0,IF('CA100 2023 Scores'!$L$36="Partial",0.5,IF('CA100 2023 Scores'!$L$36="Not assessed","Under development"))))</f>
        <v>1</v>
      </c>
      <c r="M71" s="120">
        <f>IF('CA100 2023 Scores'!$M$36="y",1,IF('CA100 2023 Scores'!$M$36="N",0,IF('CA100 2023 Scores'!$M$36="Partial",0.5,IF('CA100 2023 Scores'!$M$36="Not assessed","Under development"))))</f>
        <v>0</v>
      </c>
      <c r="N71" s="120">
        <f>IF('CA100 2023 Scores'!$N$36="y",1,IF('CA100 2023 Scores'!$N$36="N",0,IF('CA100 2023 Scores'!$N$36="Partial",0.5,IF('CA100 2023 Scores'!$N$36="Not assessed","Under development"))))</f>
        <v>1</v>
      </c>
      <c r="O71" s="122"/>
      <c r="R71" s="50"/>
    </row>
    <row r="72" spans="2:18" s="40" customFormat="1" ht="15" customHeight="1" outlineLevel="2">
      <c r="B72" s="145" t="str">
        <f t="shared" si="16"/>
        <v>5.2.b</v>
      </c>
      <c r="C72" s="93" t="s">
        <v>436</v>
      </c>
      <c r="D72" s="119" t="s">
        <v>46</v>
      </c>
      <c r="E72" s="120">
        <f>IF('CA100 2023 Scores'!$E$37="y",1,IF('CA100 2023 Scores'!$E$37="N",0,IF('CA100 2023 Scores'!$E$37="Partial",0.5,IF('CA100 2023 Scores'!$E$37="Not assessed","Under development"))))</f>
        <v>0</v>
      </c>
      <c r="F72" s="120">
        <f>IF('CA100 2023 Scores'!$F$37="y",1,IF('CA100 2023 Scores'!$F$37="N",0,IF('CA100 2023 Scores'!$F$37="Partial",0.5,IF('CA100 2023 Scores'!$F$37="Not assessed","Under development"))))</f>
        <v>0</v>
      </c>
      <c r="G72" s="120">
        <f>IF('CA100 2023 Scores'!$G$37="y",1,IF('CA100 2023 Scores'!$G$37="N",0,IF('CA100 2023 Scores'!$G$37="Partial",0.5,IF('CA100 2023 Scores'!$G$37="Not assessed","Under development"))))</f>
        <v>0</v>
      </c>
      <c r="H72" s="120">
        <f>IF('CA100 2023 Scores'!$H$37="y",1,IF('CA100 2023 Scores'!$H$37="N",0,IF('CA100 2023 Scores'!$H$37="Partial",0.5,IF('CA100 2023 Scores'!$H$37="Not assessed","Under development"))))</f>
        <v>0</v>
      </c>
      <c r="I72" s="120">
        <f>IF('CA100 2023 Scores'!$I$37="y",1,IF('CA100 2023 Scores'!$I$37="N",0,IF('CA100 2023 Scores'!$I$37="Partial",0.5,IF('CA100 2023 Scores'!$I$37="Not assessed","Under development"))))</f>
        <v>0</v>
      </c>
      <c r="J72" s="120">
        <f>IF('CA100 2023 Scores'!$J$37="y",1,IF('CA100 2023 Scores'!$J$37="N",0,IF('CA100 2023 Scores'!$J$37="Partial",0.5,IF('CA100 2023 Scores'!$J$37="Not assessed","Under development"))))</f>
        <v>0</v>
      </c>
      <c r="K72" s="120">
        <f>IF('CA100 2023 Scores'!$K$37="y",1,IF('CA100 2023 Scores'!$K$37="N",0,IF('CA100 2023 Scores'!$K$37="Partial",0.5,IF('CA100 2023 Scores'!$K$37="Not assessed","Under development"))))</f>
        <v>0</v>
      </c>
      <c r="L72" s="120">
        <f>IF('CA100 2023 Scores'!$L$37="y",1,IF('CA100 2023 Scores'!$L$37="N",0,IF('CA100 2023 Scores'!$L$37="Partial",0.5,IF('CA100 2023 Scores'!$L$37="Not assessed","Under development"))))</f>
        <v>0</v>
      </c>
      <c r="M72" s="120">
        <f>IF('CA100 2023 Scores'!$M$37="y",1,IF('CA100 2023 Scores'!$M$37="N",0,IF('CA100 2023 Scores'!$M$37="Partial",0.5,IF('CA100 2023 Scores'!$M$37="Not assessed","Under development"))))</f>
        <v>0</v>
      </c>
      <c r="N72" s="120">
        <f>IF('CA100 2023 Scores'!$N$37="y",1,IF('CA100 2023 Scores'!$N$37="N",0,IF('CA100 2023 Scores'!$N$37="Partial",0.5,IF('CA100 2023 Scores'!$N$37="Not assessed","Under development"))))</f>
        <v>1</v>
      </c>
      <c r="O72" s="122"/>
      <c r="R72" s="50"/>
    </row>
    <row r="73" spans="2:18" s="40" customFormat="1" ht="15" customHeight="1" outlineLevel="2">
      <c r="B73" s="145" t="str">
        <f t="shared" ref="B73:B107" si="19">LEFT(C73,FIND(" ",C73)-1)</f>
        <v>5.iii.a</v>
      </c>
      <c r="C73" s="126" t="s">
        <v>437</v>
      </c>
      <c r="D73" s="127" t="s">
        <v>46</v>
      </c>
      <c r="E73" s="120">
        <f>IF('NZS O&amp;G Summary'!$F$39="Y",1,IF('NZS O&amp;G Summary'!$F$39="n",0,IF('NZS O&amp;G Summary'!$F$39="Under development","Under development",IF('NZS O&amp;G Summary'!$F$39="Not applicable", "Not Applicable"))))</f>
        <v>0</v>
      </c>
      <c r="F73" s="120">
        <f>IF('NZS O&amp;G Summary'!$G$39="y",1,IF('NZS O&amp;G Summary'!$G$39="n",0,IF('NZS O&amp;G Summary'!$G$39="Under development","Under development",IF('NZS O&amp;G Summary'!$G$39="Not applicable", "Not Applicable"))))</f>
        <v>0</v>
      </c>
      <c r="G73" s="120">
        <f>IF('NZS O&amp;G Summary'!$H$39="y",1,IF('NZS O&amp;G Summary'!$H$39="n",0,IF('NZS O&amp;G Summary'!$H$39="Under development","Under development",IF('NZS O&amp;G Summary'!$H$39="Not applicable", "Not Applicable"))))</f>
        <v>0</v>
      </c>
      <c r="H73" s="120">
        <f>IF('NZS O&amp;G Summary'!$I$39="y",1,IF('NZS O&amp;G Summary'!$I$39="N",0,IF('NZS O&amp;G Summary'!$I$39="Under development","Under development",IF('NZS O&amp;G Summary'!$I$39="Not applicable", "Not Applicable"))))</f>
        <v>1</v>
      </c>
      <c r="I73" s="120">
        <f>IF('NZS O&amp;G Summary'!$J$39="Y",1,IF('NZS O&amp;G Summary'!$J$39="n",0,IF('NZS O&amp;G Summary'!$J$39="Under development","Under development",IF('NZS O&amp;G Summary'!$J$39="Not applicable", "Not Applicable"))))</f>
        <v>0</v>
      </c>
      <c r="J73" s="120">
        <f>IF('NZS O&amp;G Summary'!$K$39="Y",1,IF('NZS O&amp;G Summary'!$K$39="N",0,IF('NZS O&amp;G Summary'!$K$39="Under development","Under development",IF('NZS O&amp;G Summary'!$K$39="Not applicable", "Not Applicable"))))</f>
        <v>0</v>
      </c>
      <c r="K73" s="120">
        <f>IF('NZS O&amp;G Summary'!$L$39="Y",1,IF('NZS O&amp;G Summary'!$L$39="n",0,IF('NZS O&amp;G Summary'!$L$39="Under development","Under development",IF('NZS O&amp;G Summary'!$L$39="Not applicable", "Not Applicable"))))</f>
        <v>1</v>
      </c>
      <c r="L73" s="120">
        <f>IF('NZS O&amp;G Summary'!$M$39="Y",1,IF('NZS O&amp;G Summary'!$M$39="N",0,IF('NZS O&amp;G Summary'!$M$39="Under development","Under development",IF('NZS O&amp;G Summary'!$M$39="Not applicable", "Not Applicable"))))</f>
        <v>1</v>
      </c>
      <c r="M73" s="120">
        <f>IF('NZS O&amp;G Summary'!$N$39="Y",1,IF('NZS O&amp;G Summary'!$N$39="n",0,IF('NZS O&amp;G Summary'!$N$39="Under development","Under development",IF('NZS O&amp;G Summary'!$N$39="Not applicable", "Not Applicable"))))</f>
        <v>0</v>
      </c>
      <c r="N73" s="120">
        <f>IF('NZS O&amp;G Summary'!$O$39="Y",1,IF('NZS O&amp;G Summary'!$O$39="N",0,IF('NZS O&amp;G Summary'!$O$39="Under development","Under development",IF('NZS O&amp;G Summary'!$O$39="Not applicable", "Not Applicable"))))</f>
        <v>1</v>
      </c>
      <c r="O73" s="122"/>
      <c r="R73" s="50"/>
    </row>
    <row r="74" spans="2:18" s="40" customFormat="1" ht="15" customHeight="1" outlineLevel="2">
      <c r="B74" s="145" t="str">
        <f t="shared" si="19"/>
        <v>5.iii.b</v>
      </c>
      <c r="C74" s="126" t="s">
        <v>438</v>
      </c>
      <c r="D74" s="127" t="s">
        <v>46</v>
      </c>
      <c r="E74" s="120">
        <f>IF('NZS O&amp;G Summary'!$F$40="Y",1,IF('NZS O&amp;G Summary'!$F$40="n",0,IF('NZS O&amp;G Summary'!$F$40="Under development","Under development",IF('NZS O&amp;G Summary'!$F$40="Not applicable", "Not Applicable"))))</f>
        <v>0</v>
      </c>
      <c r="F74" s="120">
        <f>IF('NZS O&amp;G Summary'!$G$40="y",1,IF('NZS O&amp;G Summary'!$G$40="n",0,IF('NZS O&amp;G Summary'!$G$40="Under development","Under development",IF('NZS O&amp;G Summary'!$G$40="Not applicable", "Not Applicable"))))</f>
        <v>0</v>
      </c>
      <c r="G74" s="120">
        <f>IF('NZS O&amp;G Summary'!$H$40="y",1,IF('NZS O&amp;G Summary'!$H$40="n",0,IF('NZS O&amp;G Summary'!$H$40="Under development","Under development",IF('NZS O&amp;G Summary'!$H$40="Not applicable", "Not Applicable"))))</f>
        <v>0</v>
      </c>
      <c r="H74" s="120">
        <f>IF('NZS O&amp;G Summary'!$I$40="y",1,IF('NZS O&amp;G Summary'!$I$40="N",0,IF('NZS O&amp;G Summary'!$I$40="Under development","Under development",IF('NZS O&amp;G Summary'!$I$40="Not applicable", "Not Applicable"))))</f>
        <v>1</v>
      </c>
      <c r="I74" s="120">
        <f>IF('NZS O&amp;G Summary'!$J$40="Y",1,IF('NZS O&amp;G Summary'!$J$40="n",0,IF('NZS O&amp;G Summary'!$J$40="Under development","Under development",IF('NZS O&amp;G Summary'!$J$40="Not applicable", "Not Applicable"))))</f>
        <v>0</v>
      </c>
      <c r="J74" s="120">
        <f>IF('NZS O&amp;G Summary'!$K$40="Y",1,IF('NZS O&amp;G Summary'!$K$40="N",0,IF('NZS O&amp;G Summary'!$K$40="Under development","Under development",IF('NZS O&amp;G Summary'!$K$40="Not applicable", "Not Applicable"))))</f>
        <v>0</v>
      </c>
      <c r="K74" s="120">
        <f>IF('NZS O&amp;G Summary'!$L$40="Y",1,IF('NZS O&amp;G Summary'!$L$40="n",0,IF('NZS O&amp;G Summary'!$L$40="Under development","Under development",IF('NZS O&amp;G Summary'!$L$40="Not applicable", "Not Applicable"))))</f>
        <v>1</v>
      </c>
      <c r="L74" s="120">
        <f>IF('NZS O&amp;G Summary'!$M$40="Y",1,IF('NZS O&amp;G Summary'!$M$40="N",0,IF('NZS O&amp;G Summary'!$M$40="Under development","Under development",IF('NZS O&amp;G Summary'!$M$40="Not applicable", "Not Applicable"))))</f>
        <v>1</v>
      </c>
      <c r="M74" s="120">
        <f>IF('NZS O&amp;G Summary'!$N$40="Y",1,IF('NZS O&amp;G Summary'!$N$40="n",0,IF('NZS O&amp;G Summary'!$N$40="Under development","Under development",IF('NZS O&amp;G Summary'!$N$40="Not applicable", "Not Applicable"))))</f>
        <v>0</v>
      </c>
      <c r="N74" s="120">
        <f>IF('NZS O&amp;G Summary'!$O$40="Y",1,IF('NZS O&amp;G Summary'!$O$40="N",0,IF('NZS O&amp;G Summary'!$O$40="Under development","Under development",IF('NZS O&amp;G Summary'!$O$40="Not applicable", "Not Applicable"))))</f>
        <v>1</v>
      </c>
      <c r="O74" s="122"/>
      <c r="R74" s="50"/>
    </row>
    <row r="75" spans="2:18" s="40" customFormat="1" ht="15" customHeight="1" outlineLevel="2">
      <c r="B75" s="145" t="str">
        <f t="shared" si="19"/>
        <v>5.iii.c</v>
      </c>
      <c r="C75" s="126" t="s">
        <v>439</v>
      </c>
      <c r="D75" s="127" t="s">
        <v>46</v>
      </c>
      <c r="E75" s="120">
        <f>IF('NZS O&amp;G Summary'!$F$41="Y",1,IF('NZS O&amp;G Summary'!$F$41="n",0,IF('NZS O&amp;G Summary'!$F$41="Under development","Under development",IF('NZS O&amp;G Summary'!$F$41="Not applicable", "Not Applicable"))))</f>
        <v>0</v>
      </c>
      <c r="F75" s="120">
        <f>IF('NZS O&amp;G Summary'!$G$41="y",1,IF('NZS O&amp;G Summary'!$G$41="n",0,IF('NZS O&amp;G Summary'!$G$41="Under development","Under development",IF('NZS O&amp;G Summary'!$G$41="Not applicable", "Not Applicable"))))</f>
        <v>0</v>
      </c>
      <c r="G75" s="120">
        <f>IF('NZS O&amp;G Summary'!$H$41="y",1,IF('NZS O&amp;G Summary'!$H$41="n",0,IF('NZS O&amp;G Summary'!$H$41="Under development","Under development",IF('NZS O&amp;G Summary'!$H$41="Not applicable", "Not Applicable"))))</f>
        <v>0</v>
      </c>
      <c r="H75" s="120">
        <f>IF('NZS O&amp;G Summary'!$I$41="y",1,IF('NZS O&amp;G Summary'!$I$41="N",0,IF('NZS O&amp;G Summary'!$I$41="Under development","Under development",IF('NZS O&amp;G Summary'!$I$41="Not applicable", "Not Applicable"))))</f>
        <v>0</v>
      </c>
      <c r="I75" s="120">
        <f>IF('NZS O&amp;G Summary'!$J$41="Y",1,IF('NZS O&amp;G Summary'!$J$41="n",0,IF('NZS O&amp;G Summary'!$J$41="Under development","Under development",IF('NZS O&amp;G Summary'!$J$41="Not applicable", "Not Applicable"))))</f>
        <v>0</v>
      </c>
      <c r="J75" s="120">
        <f>IF('NZS O&amp;G Summary'!$K$41="Y",1,IF('NZS O&amp;G Summary'!$K$41="N",0,IF('NZS O&amp;G Summary'!$K$41="Under development","Under development",IF('NZS O&amp;G Summary'!$K$41="Not applicable", "Not Applicable"))))</f>
        <v>0</v>
      </c>
      <c r="K75" s="120">
        <f>IF('NZS O&amp;G Summary'!$L$41="Y",1,IF('NZS O&amp;G Summary'!$L$41="n",0,IF('NZS O&amp;G Summary'!$L$41="Under development","Under development",IF('NZS O&amp;G Summary'!$L$41="Not applicable", "Not Applicable"))))</f>
        <v>1</v>
      </c>
      <c r="L75" s="120">
        <f>IF('NZS O&amp;G Summary'!$M$41="Y",1,IF('NZS O&amp;G Summary'!$M$41="N",0,IF('NZS O&amp;G Summary'!$M$41="Under development","Under development",IF('NZS O&amp;G Summary'!$M$41="Not applicable", "Not Applicable"))))</f>
        <v>0</v>
      </c>
      <c r="M75" s="120">
        <f>IF('NZS O&amp;G Summary'!$N$41="Y",1,IF('NZS O&amp;G Summary'!$N$41="n",0,IF('NZS O&amp;G Summary'!$N$41="Under development","Under development",IF('NZS O&amp;G Summary'!$N$41="Not applicable", "Not Applicable"))))</f>
        <v>0</v>
      </c>
      <c r="N75" s="120">
        <f>IF('NZS O&amp;G Summary'!$O$41="Y",1,IF('NZS O&amp;G Summary'!$O$41="N",0,IF('NZS O&amp;G Summary'!$O$41="Under development","Under development",IF('NZS O&amp;G Summary'!$O$41="Not applicable", "Not Applicable"))))</f>
        <v>1</v>
      </c>
      <c r="O75" s="122"/>
      <c r="R75" s="50"/>
    </row>
    <row r="76" spans="2:18" s="40" customFormat="1" ht="15" customHeight="1" outlineLevel="2">
      <c r="B76" s="145" t="str">
        <f t="shared" si="19"/>
        <v>5.iii.d</v>
      </c>
      <c r="C76" s="126" t="s">
        <v>440</v>
      </c>
      <c r="D76" s="127" t="s">
        <v>46</v>
      </c>
      <c r="E76" s="120">
        <f>IF('NZS O&amp;G Summary'!$F$42="Y",1,IF('NZS O&amp;G Summary'!$F$42="n",0,IF('NZS O&amp;G Summary'!$F$42="Under development","Under development",IF('NZS O&amp;G Summary'!$F$42="Not applicable", "Not Applicable"))))</f>
        <v>0</v>
      </c>
      <c r="F76" s="120">
        <f>IF('NZS O&amp;G Summary'!$G$42="y",1,IF('NZS O&amp;G Summary'!$G$42="n",0,IF('NZS O&amp;G Summary'!$G$42="Under development","Under development",IF('NZS O&amp;G Summary'!$G$42="Not applicable", "Not Applicable"))))</f>
        <v>0</v>
      </c>
      <c r="G76" s="120">
        <f>IF('NZS O&amp;G Summary'!$H$42="y",1,IF('NZS O&amp;G Summary'!$H$42="n",0,IF('NZS O&amp;G Summary'!$H$42="Under development","Under development",IF('NZS O&amp;G Summary'!$H$42="Not applicable", "Not Applicable"))))</f>
        <v>0</v>
      </c>
      <c r="H76" s="120">
        <f>IF('NZS O&amp;G Summary'!$I$42="y",1,IF('NZS O&amp;G Summary'!$I$42="N",0,IF('NZS O&amp;G Summary'!$I$42="Under development","Under development",IF('NZS O&amp;G Summary'!$I$42="Not applicable", "Not Applicable"))))</f>
        <v>0</v>
      </c>
      <c r="I76" s="120">
        <f>IF('NZS O&amp;G Summary'!$J$42="Y",1,IF('NZS O&amp;G Summary'!$J$42="n",0,IF('NZS O&amp;G Summary'!$J$42="Under development","Under development",IF('NZS O&amp;G Summary'!$J$42="Not applicable", "Not Applicable"))))</f>
        <v>0</v>
      </c>
      <c r="J76" s="120">
        <f>IF('NZS O&amp;G Summary'!$K$42="Y",1,IF('NZS O&amp;G Summary'!$K$42="N",0,IF('NZS O&amp;G Summary'!$K$42="Under development","Under development",IF('NZS O&amp;G Summary'!$K$42="Not applicable", "Not Applicable"))))</f>
        <v>0</v>
      </c>
      <c r="K76" s="120">
        <f>IF('NZS O&amp;G Summary'!$L$42="Y",1,IF('NZS O&amp;G Summary'!$L$42="n",0,IF('NZS O&amp;G Summary'!$L$42="Under development","Under development",IF('NZS O&amp;G Summary'!$L$42="Not applicable", "Not Applicable"))))</f>
        <v>0</v>
      </c>
      <c r="L76" s="120">
        <f>IF('NZS O&amp;G Summary'!$M$42="Y",1,IF('NZS O&amp;G Summary'!$M$42="N",0,IF('NZS O&amp;G Summary'!$M$42="Under development","Under development",IF('NZS O&amp;G Summary'!$M$42="Not applicable", "Not Applicable"))))</f>
        <v>0</v>
      </c>
      <c r="M76" s="120">
        <f>IF('NZS O&amp;G Summary'!$N$42="Y",1,IF('NZS O&amp;G Summary'!$N$42="n",0,IF('NZS O&amp;G Summary'!$N$42="Under development","Under development",IF('NZS O&amp;G Summary'!$N$42="Not applicable", "Not Applicable"))))</f>
        <v>0</v>
      </c>
      <c r="N76" s="120">
        <f>IF('NZS O&amp;G Summary'!$O$42="Y",1,IF('NZS O&amp;G Summary'!$O$42="N",0,IF('NZS O&amp;G Summary'!$O$42="Under development","Under development",IF('NZS O&amp;G Summary'!$O$42="Not applicable", "Not Applicable"))))</f>
        <v>1</v>
      </c>
      <c r="O76" s="122"/>
      <c r="R76" s="50"/>
    </row>
    <row r="77" spans="2:18" s="40" customFormat="1" ht="15" customHeight="1" outlineLevel="2">
      <c r="B77" s="145" t="str">
        <f t="shared" si="19"/>
        <v>5.iii.e</v>
      </c>
      <c r="C77" s="126" t="s">
        <v>441</v>
      </c>
      <c r="D77" s="127" t="s">
        <v>46</v>
      </c>
      <c r="E77" s="120">
        <f>IF('NZS O&amp;G Summary'!$F$43="Y",1,IF('NZS O&amp;G Summary'!$F$43="n",0,IF('NZS O&amp;G Summary'!$F$43="Under development","Under development",IF('NZS O&amp;G Summary'!$F$43="Not applicable", "Not Applicable"))))</f>
        <v>0</v>
      </c>
      <c r="F77" s="120">
        <f>IF('NZS O&amp;G Summary'!$G$43="y",1,IF('NZS O&amp;G Summary'!$G$43="n",0,IF('NZS O&amp;G Summary'!$G$43="Under development","Under development",IF('NZS O&amp;G Summary'!$G$43="Not applicable", "Not Applicable"))))</f>
        <v>0</v>
      </c>
      <c r="G77" s="120">
        <f>IF('NZS O&amp;G Summary'!$H$43="y",1,IF('NZS O&amp;G Summary'!$H$43="n",0,IF('NZS O&amp;G Summary'!$H$43="Under development","Under development",IF('NZS O&amp;G Summary'!$H$43="Not applicable", "Not Applicable"))))</f>
        <v>0</v>
      </c>
      <c r="H77" s="120">
        <f>IF('NZS O&amp;G Summary'!$I$43="y",1,IF('NZS O&amp;G Summary'!$I$43="N",0,IF('NZS O&amp;G Summary'!$I$43="Under development","Under development",IF('NZS O&amp;G Summary'!$I$43="Not applicable", "Not Applicable"))))</f>
        <v>0</v>
      </c>
      <c r="I77" s="120">
        <f>IF('NZS O&amp;G Summary'!$J$43="Y",1,IF('NZS O&amp;G Summary'!$J$43="n",0,IF('NZS O&amp;G Summary'!$J$43="Under development","Under development",IF('NZS O&amp;G Summary'!$J$43="Not applicable", "Not Applicable"))))</f>
        <v>0</v>
      </c>
      <c r="J77" s="120">
        <f>IF('NZS O&amp;G Summary'!$K$43="Y",1,IF('NZS O&amp;G Summary'!$K$43="N",0,IF('NZS O&amp;G Summary'!$K$43="Under development","Under development",IF('NZS O&amp;G Summary'!$K$43="Not applicable", "Not Applicable"))))</f>
        <v>0</v>
      </c>
      <c r="K77" s="120">
        <f>IF('NZS O&amp;G Summary'!$L$43="Y",1,IF('NZS O&amp;G Summary'!$L$43="n",0,IF('NZS O&amp;G Summary'!$L$43="Under development","Under development",IF('NZS O&amp;G Summary'!$L$43="Not applicable", "Not Applicable"))))</f>
        <v>0</v>
      </c>
      <c r="L77" s="120">
        <f>IF('NZS O&amp;G Summary'!$M$43="Y",1,IF('NZS O&amp;G Summary'!$M$43="N",0,IF('NZS O&amp;G Summary'!$M$43="Under development","Under development",IF('NZS O&amp;G Summary'!$M$43="Not applicable", "Not Applicable"))))</f>
        <v>0</v>
      </c>
      <c r="M77" s="120">
        <f>IF('NZS O&amp;G Summary'!$N$43="Y",1,IF('NZS O&amp;G Summary'!$N$43="n",0,IF('NZS O&amp;G Summary'!$N$43="Under development","Under development",IF('NZS O&amp;G Summary'!$N$43="Not applicable", "Not Applicable"))))</f>
        <v>0</v>
      </c>
      <c r="N77" s="120">
        <f>IF('NZS O&amp;G Summary'!$O$43="Y",1,IF('NZS O&amp;G Summary'!$O$43="N",0,IF('NZS O&amp;G Summary'!$O$43="Under development","Under development",IF('NZS O&amp;G Summary'!$O$43="Not applicable", "Not Applicable"))))</f>
        <v>1</v>
      </c>
      <c r="O77" s="122"/>
      <c r="R77" s="50"/>
    </row>
    <row r="78" spans="2:18" s="40" customFormat="1" ht="15" customHeight="1" outlineLevel="2">
      <c r="B78" s="145" t="str">
        <f t="shared" si="19"/>
        <v>5.iii.f</v>
      </c>
      <c r="C78" s="126" t="s">
        <v>442</v>
      </c>
      <c r="D78" s="127" t="s">
        <v>46</v>
      </c>
      <c r="E78" s="120">
        <f>IF('NZS O&amp;G Summary'!$F$44="Y",1,IF('NZS O&amp;G Summary'!$F$44="n",0,IF('NZS O&amp;G Summary'!$F$44="Under development","Under development",IF('NZS O&amp;G Summary'!$F$44="Not applicable", "Not Applicable"))))</f>
        <v>0</v>
      </c>
      <c r="F78" s="120">
        <f>IF('NZS O&amp;G Summary'!$G$44="y",1,IF('NZS O&amp;G Summary'!$G$44="n",0,IF('NZS O&amp;G Summary'!$G$44="Under development","Under development",IF('NZS O&amp;G Summary'!$G$44="Not applicable", "Not Applicable"))))</f>
        <v>0</v>
      </c>
      <c r="G78" s="120">
        <f>IF('NZS O&amp;G Summary'!$H$44="y",1,IF('NZS O&amp;G Summary'!$H$44="n",0,IF('NZS O&amp;G Summary'!$H$44="Under development","Under development",IF('NZS O&amp;G Summary'!$H$44="Not applicable", "Not Applicable"))))</f>
        <v>0</v>
      </c>
      <c r="H78" s="120">
        <f>IF('NZS O&amp;G Summary'!$I$44="y",1,IF('NZS O&amp;G Summary'!$I$44="N",0,IF('NZS O&amp;G Summary'!$I$44="Under development","Under development",IF('NZS O&amp;G Summary'!$I$44="Not applicable", "Not Applicable"))))</f>
        <v>0</v>
      </c>
      <c r="I78" s="120">
        <f>IF('NZS O&amp;G Summary'!$J$44="Y",1,IF('NZS O&amp;G Summary'!$J$44="n",0,IF('NZS O&amp;G Summary'!$J$44="Under development","Under development",IF('NZS O&amp;G Summary'!$J$44="Not applicable", "Not Applicable"))))</f>
        <v>0</v>
      </c>
      <c r="J78" s="120">
        <f>IF('NZS O&amp;G Summary'!$K$44="Y",1,IF('NZS O&amp;G Summary'!$K$44="N",0,IF('NZS O&amp;G Summary'!$K$44="Under development","Under development",IF('NZS O&amp;G Summary'!$K$44="Not applicable", "Not Applicable"))))</f>
        <v>0</v>
      </c>
      <c r="K78" s="120">
        <f>IF('NZS O&amp;G Summary'!$L$44="Y",1,IF('NZS O&amp;G Summary'!$L$44="n",0,IF('NZS O&amp;G Summary'!$L$44="Under development","Under development",IF('NZS O&amp;G Summary'!$L$44="Not applicable", "Not Applicable"))))</f>
        <v>0</v>
      </c>
      <c r="L78" s="120">
        <f>IF('NZS O&amp;G Summary'!$M$44="Y",1,IF('NZS O&amp;G Summary'!$M$44="N",0,IF('NZS O&amp;G Summary'!$M$44="Under development","Under development",IF('NZS O&amp;G Summary'!$M$44="Not applicable", "Not Applicable"))))</f>
        <v>0</v>
      </c>
      <c r="M78" s="120">
        <f>IF('NZS O&amp;G Summary'!$N$44="Y",1,IF('NZS O&amp;G Summary'!$N$44="n",0,IF('NZS O&amp;G Summary'!$N$44="Under development","Under development",IF('NZS O&amp;G Summary'!$N$44="Not applicable", "Not Applicable"))))</f>
        <v>0</v>
      </c>
      <c r="N78" s="120">
        <f>IF('NZS O&amp;G Summary'!$O$44="Y",1,IF('NZS O&amp;G Summary'!$O$44="N",0,IF('NZS O&amp;G Summary'!$O$44="Under development","Under development",IF('NZS O&amp;G Summary'!$O$44="Not applicable", "Not Applicable"))))</f>
        <v>1</v>
      </c>
      <c r="O78" s="122"/>
      <c r="R78" s="50"/>
    </row>
    <row r="79" spans="2:18" s="40" customFormat="1" ht="15" customHeight="1" outlineLevel="2">
      <c r="B79" s="145" t="str">
        <f t="shared" si="19"/>
        <v>5.iii.g</v>
      </c>
      <c r="C79" s="126" t="s">
        <v>443</v>
      </c>
      <c r="D79" s="127" t="s">
        <v>46</v>
      </c>
      <c r="E79" s="120">
        <f>IF('NZS O&amp;G Summary'!$F$45="Y",1,IF('NZS O&amp;G Summary'!$F$45="n",0,IF('NZS O&amp;G Summary'!$F$45="Under development","Under development",IF('NZS O&amp;G Summary'!$F$45="Not applicable", "Not Applicable"))))</f>
        <v>0</v>
      </c>
      <c r="F79" s="120">
        <f>IF('NZS O&amp;G Summary'!$G$45="y",1,IF('NZS O&amp;G Summary'!$G$45="n",0,IF('NZS O&amp;G Summary'!$G$45="Under development","Under development",IF('NZS O&amp;G Summary'!$G$45="Not applicable", "Not Applicable"))))</f>
        <v>0</v>
      </c>
      <c r="G79" s="120">
        <f>IF('NZS O&amp;G Summary'!$H$45="y",1,IF('NZS O&amp;G Summary'!$H$45="n",0,IF('NZS O&amp;G Summary'!$H$45="Under development","Under development",IF('NZS O&amp;G Summary'!$H$45="Not applicable", "Not Applicable"))))</f>
        <v>0</v>
      </c>
      <c r="H79" s="120">
        <f>IF('NZS O&amp;G Summary'!$I$45="y",1,IF('NZS O&amp;G Summary'!$I$45="N",0,IF('NZS O&amp;G Summary'!$I$45="Under development","Under development",IF('NZS O&amp;G Summary'!$I$45="Not applicable", "Not Applicable"))))</f>
        <v>0</v>
      </c>
      <c r="I79" s="120">
        <f>IF('NZS O&amp;G Summary'!$J$45="Y",1,IF('NZS O&amp;G Summary'!$J$45="n",0,IF('NZS O&amp;G Summary'!$J$45="Under development","Under development",IF('NZS O&amp;G Summary'!$J$45="Not applicable", "Not Applicable"))))</f>
        <v>0</v>
      </c>
      <c r="J79" s="120">
        <f>IF('NZS O&amp;G Summary'!$K$45="Y",1,IF('NZS O&amp;G Summary'!$K$45="N",0,IF('NZS O&amp;G Summary'!$K$45="Under development","Under development",IF('NZS O&amp;G Summary'!$K$45="Not applicable", "Not Applicable"))))</f>
        <v>0</v>
      </c>
      <c r="K79" s="120">
        <f>IF('NZS O&amp;G Summary'!$L$45="Y",1,IF('NZS O&amp;G Summary'!$L$45="n",0,IF('NZS O&amp;G Summary'!$L$45="Under development","Under development",IF('NZS O&amp;G Summary'!$L$45="Not applicable", "Not Applicable"))))</f>
        <v>0</v>
      </c>
      <c r="L79" s="120">
        <f>IF('NZS O&amp;G Summary'!$M$45="Y",1,IF('NZS O&amp;G Summary'!$M$45="N",0,IF('NZS O&amp;G Summary'!$M$45="Under development","Under development",IF('NZS O&amp;G Summary'!$M$45="Not applicable", "Not Applicable"))))</f>
        <v>0</v>
      </c>
      <c r="M79" s="120">
        <f>IF('NZS O&amp;G Summary'!$N$45="Y",1,IF('NZS O&amp;G Summary'!$N$45="n",0,IF('NZS O&amp;G Summary'!$N$45="Under development","Under development",IF('NZS O&amp;G Summary'!$N$45="Not applicable", "Not Applicable"))))</f>
        <v>0</v>
      </c>
      <c r="N79" s="120">
        <f>IF('NZS O&amp;G Summary'!$O$45="Y",1,IF('NZS O&amp;G Summary'!$O$45="N",0,IF('NZS O&amp;G Summary'!$O$45="Under development","Under development",IF('NZS O&amp;G Summary'!$O$45="Not applicable", "Not Applicable"))))</f>
        <v>1</v>
      </c>
      <c r="O79" s="122"/>
      <c r="R79" s="50"/>
    </row>
    <row r="80" spans="2:18" s="40" customFormat="1" ht="15" customHeight="1" outlineLevel="2">
      <c r="B80" s="145" t="str">
        <f t="shared" si="19"/>
        <v>5.iii.h</v>
      </c>
      <c r="C80" s="126" t="s">
        <v>444</v>
      </c>
      <c r="D80" s="127" t="s">
        <v>46</v>
      </c>
      <c r="E80" s="120">
        <f>IF('NZS O&amp;G Summary'!$F$46="Y",1,IF('NZS O&amp;G Summary'!$F$46="n",0,IF('NZS O&amp;G Summary'!$F$46="Under development","Under development",IF('NZS O&amp;G Summary'!$F$46="Not applicable", "Not Applicable"))))</f>
        <v>0</v>
      </c>
      <c r="F80" s="120">
        <f>IF('NZS O&amp;G Summary'!$G$46="y",1,IF('NZS O&amp;G Summary'!$G$46="n",0,IF('NZS O&amp;G Summary'!$G$46="Under development","Under development",IF('NZS O&amp;G Summary'!$G$46="Not applicable", "Not Applicable"))))</f>
        <v>0</v>
      </c>
      <c r="G80" s="120">
        <f>IF('NZS O&amp;G Summary'!$H$46="y",1,IF('NZS O&amp;G Summary'!$H$46="n",0,IF('NZS O&amp;G Summary'!$H$45="Under development","Under development",IF('NZS O&amp;G Summary'!$H$46="Not applicable", "Not Applicable"))))</f>
        <v>0</v>
      </c>
      <c r="H80" s="120">
        <f>IF('NZS O&amp;G Summary'!$I$46="y",1,IF('NZS O&amp;G Summary'!$I$46="N",0,IF('NZS O&amp;G Summary'!$I$46="Under development","Under development",IF('NZS O&amp;G Summary'!$I$46="Not applicable", "Not Applicable"))))</f>
        <v>0</v>
      </c>
      <c r="I80" s="120">
        <f>IF('NZS O&amp;G Summary'!$J$46="Y",1,IF('NZS O&amp;G Summary'!$J$46="n",0,IF('NZS O&amp;G Summary'!$J$46="Under development","Under development",IF('NZS O&amp;G Summary'!$J$46="Not applicable", "Not Applicable"))))</f>
        <v>0</v>
      </c>
      <c r="J80" s="120">
        <f>IF('NZS O&amp;G Summary'!$K$46="Y",1,IF('NZS O&amp;G Summary'!$K$46="N",0,IF('NZS O&amp;G Summary'!$K$46="Under development","Under development",IF('NZS O&amp;G Summary'!$K$46="Not applicable", "Not Applicable"))))</f>
        <v>0</v>
      </c>
      <c r="K80" s="120">
        <f>IF('NZS O&amp;G Summary'!$L$46="Y",1,IF('NZS O&amp;G Summary'!$L$46="n",0,IF('NZS O&amp;G Summary'!$L$46="Under development","Under development",IF('NZS O&amp;G Summary'!$L$46="Not applicable", "Not Applicable"))))</f>
        <v>0</v>
      </c>
      <c r="L80" s="120">
        <f>IF('NZS O&amp;G Summary'!$M$46="Y",1,IF('NZS O&amp;G Summary'!$M$46="N",0,IF('NZS O&amp;G Summary'!$M$46="Under development","Under development",IF('NZS O&amp;G Summary'!$M$46="Not applicable", "Not Applicable"))))</f>
        <v>0</v>
      </c>
      <c r="M80" s="120">
        <f>IF('NZS O&amp;G Summary'!$N$46="Y",1,IF('NZS O&amp;G Summary'!$N$46="n",0,IF('NZS O&amp;G Summary'!$N$46="Under development","Under development",IF('NZS O&amp;G Summary'!$N$46="Not applicable", "Not Applicable"))))</f>
        <v>0</v>
      </c>
      <c r="N80" s="120">
        <f>IF('NZS O&amp;G Summary'!$O$46="Y",1,IF('NZS O&amp;G Summary'!$O$46="N",0,IF('NZS O&amp;G Summary'!$O$46="Under development","Under development",IF('NZS O&amp;G Summary'!$O$46="Not applicable", "Not Applicable"))))</f>
        <v>1</v>
      </c>
      <c r="O80" s="122"/>
      <c r="R80" s="50"/>
    </row>
    <row r="81" spans="2:18" s="40" customFormat="1" ht="15" customHeight="1" outlineLevel="1">
      <c r="B81" s="145" t="str">
        <f t="shared" si="19"/>
        <v>5.iv</v>
      </c>
      <c r="C81" s="135" t="s">
        <v>445</v>
      </c>
      <c r="D81" s="127"/>
      <c r="E81" s="120">
        <f>AVERAGE(E82:E88)</f>
        <v>0.5</v>
      </c>
      <c r="F81" s="120">
        <f t="shared" ref="F81:N81" si="20">AVERAGE(F82:F88)</f>
        <v>0.16666666666666666</v>
      </c>
      <c r="G81" s="120">
        <f t="shared" si="20"/>
        <v>0.5</v>
      </c>
      <c r="H81" s="120">
        <f t="shared" si="20"/>
        <v>0.33333333333333331</v>
      </c>
      <c r="I81" s="120">
        <f t="shared" si="20"/>
        <v>0.16666666666666666</v>
      </c>
      <c r="J81" s="120">
        <f t="shared" si="20"/>
        <v>0.33333333333333331</v>
      </c>
      <c r="K81" s="120">
        <f t="shared" si="20"/>
        <v>0.33333333333333331</v>
      </c>
      <c r="L81" s="120">
        <f t="shared" si="20"/>
        <v>0.33333333333333331</v>
      </c>
      <c r="M81" s="120">
        <f t="shared" si="20"/>
        <v>0</v>
      </c>
      <c r="N81" s="120">
        <f t="shared" si="20"/>
        <v>0.66666666666666663</v>
      </c>
      <c r="O81" s="122" t="s">
        <v>81</v>
      </c>
      <c r="R81" s="50"/>
    </row>
    <row r="82" spans="2:18" s="40" customFormat="1" ht="15" customHeight="1" outlineLevel="2">
      <c r="B82" s="145" t="str">
        <f t="shared" si="19"/>
        <v>5.iv.a</v>
      </c>
      <c r="C82" s="126" t="s">
        <v>446</v>
      </c>
      <c r="D82" s="127" t="s">
        <v>44</v>
      </c>
      <c r="E82" s="120">
        <f>IF('NZS O&amp;G Summary'!$F$48="Y",1,IF('NZS O&amp;G Summary'!$F$48="n",0,IF('NZS O&amp;G Summary'!$F$48="Under development","Under development",IF('NZS O&amp;G Summary'!$F$48="Not applicable", "Not Applicable"))))</f>
        <v>1</v>
      </c>
      <c r="F82" s="120">
        <f>IF('NZS O&amp;G Summary'!$G$48="y",1,IF('NZS O&amp;G Summary'!$G$48="n",0,IF('NZS O&amp;G Summary'!$G$48="Under development","Under development",IF('NZS O&amp;G Summary'!$G$48="Not applicable", "Not Applicable"))))</f>
        <v>0</v>
      </c>
      <c r="G82" s="120">
        <f>IF('NZS O&amp;G Summary'!$H$48="y",1,IF('NZS O&amp;G Summary'!$H$48="n",0,IF('NZS O&amp;G Summary'!$H$48="Under development","Under development",IF('NZS O&amp;G Summary'!$H$48="Not applicable", "Not Applicable"))))</f>
        <v>1</v>
      </c>
      <c r="H82" s="120">
        <f>IF('NZS O&amp;G Summary'!$I$48="y",1,IF('NZS O&amp;G Summary'!$I$48="N",0,IF('NZS O&amp;G Summary'!$I$48="Under development","Under development",IF('NZS O&amp;G Summary'!$I$48="Not applicable", "Not Applicable"))))</f>
        <v>1</v>
      </c>
      <c r="I82" s="120">
        <f>IF('NZS O&amp;G Summary'!$J$48="Y",1,IF('NZS O&amp;G Summary'!$J$48="n",0,IF('NZS O&amp;G Summary'!$J$48="Under development","Under development",IF('NZS O&amp;G Summary'!$J$48="Not applicable", "Not Applicable"))))</f>
        <v>0</v>
      </c>
      <c r="J82" s="120">
        <f>IF('NZS O&amp;G Summary'!$K$48="Y",1,IF('NZS O&amp;G Summary'!$K$48="N",0,IF('NZS O&amp;G Summary'!$K$48="Under development","Under development",IF('NZS O&amp;G Summary'!$K$48="Not applicable", "Not Applicable"))))</f>
        <v>1</v>
      </c>
      <c r="K82" s="120">
        <f>IF('NZS O&amp;G Summary'!$L$48="Y",1,IF('NZS O&amp;G Summary'!$L$48="n",0,IF('NZS O&amp;G Summary'!$L$48="Under development","Under development",IF('NZS O&amp;G Summary'!$L$48="Not applicable", "Not Applicable"))))</f>
        <v>1</v>
      </c>
      <c r="L82" s="120">
        <f>IF('NZS O&amp;G Summary'!$M$48="Y",1,IF('NZS O&amp;G Summary'!$M$48="N",0,IF('NZS O&amp;G Summary'!$M$48="Under development","Under development",IF('NZS O&amp;G Summary'!$M$48="Not applicable", "Not Applicable"))))</f>
        <v>1</v>
      </c>
      <c r="M82" s="120">
        <f>IF('NZS O&amp;G Summary'!$N$48="Y",1,IF('NZS O&amp;G Summary'!$N$48="n",0,IF('NZS O&amp;G Summary'!$N$48="Under development","Under development",IF('NZS O&amp;G Summary'!$N$48="Not applicable", "Not Applicable"))))</f>
        <v>0</v>
      </c>
      <c r="N82" s="120">
        <f>IF('NZS O&amp;G Summary'!$O$48="Y",1,IF('NZS O&amp;G Summary'!$O$48="N",0,IF('NZS O&amp;G Summary'!$O$48="Under development","Under development",IF('NZS O&amp;G Summary'!$O$48="Not applicable", "Not Applicable"))))</f>
        <v>1</v>
      </c>
      <c r="O82" s="122"/>
      <c r="R82" s="50"/>
    </row>
    <row r="83" spans="2:18" s="40" customFormat="1" ht="15" customHeight="1" outlineLevel="2">
      <c r="B83" s="145" t="str">
        <f t="shared" si="19"/>
        <v>5.iv.b</v>
      </c>
      <c r="C83" s="126" t="s">
        <v>447</v>
      </c>
      <c r="D83" s="127" t="s">
        <v>44</v>
      </c>
      <c r="E83" s="120">
        <f>IF('NZS O&amp;G Summary'!$F$49="Y",1,IF('NZS O&amp;G Summary'!$F$49="n",0,IF('NZS O&amp;G Summary'!$F$49="Under development","Under development",IF('NZS O&amp;G Summary'!$F$49="Not applicable", "Not Applicable"))))</f>
        <v>0</v>
      </c>
      <c r="F83" s="120">
        <f>IF('NZS O&amp;G Summary'!$G$49="y",1,IF('NZS O&amp;G Summary'!$G$49="n",0,IF('NZS O&amp;G Summary'!$G$49="Under development","Under development",IF('NZS O&amp;G Summary'!$G$49="Not applicable", "Not Applicable"))))</f>
        <v>0</v>
      </c>
      <c r="G83" s="120">
        <f>IF('NZS O&amp;G Summary'!$H$49="y",1,IF('NZS O&amp;G Summary'!$H$49="n",0,IF('NZS O&amp;G Summary'!$H$49="Under development","Under development",IF('NZS O&amp;G Summary'!$H$49="Not applicable", "Not Applicable"))))</f>
        <v>0</v>
      </c>
      <c r="H83" s="120">
        <f>IF('NZS O&amp;G Summary'!$I$49="y",1,IF('NZS O&amp;G Summary'!$I$49="N",0,IF('NZS O&amp;G Summary'!$I$49="Under development","Under development",IF('NZS O&amp;G Summary'!$I$49="Not applicable", "Not Applicable"))))</f>
        <v>0</v>
      </c>
      <c r="I83" s="120">
        <f>IF('NZS O&amp;G Summary'!$J$49="Y",1,IF('NZS O&amp;G Summary'!$J$49="n",0,IF('NZS O&amp;G Summary'!$J$49="Under development","Under development",IF('NZS O&amp;G Summary'!$J$49="Not applicable", "Not Applicable"))))</f>
        <v>0</v>
      </c>
      <c r="J83" s="120">
        <f>IF('NZS O&amp;G Summary'!$K$49="Y",1,IF('NZS O&amp;G Summary'!$K$49="N",0,IF('NZS O&amp;G Summary'!$K$49="Under development","Under development",IF('NZS O&amp;G Summary'!$K$49="Not applicable", "Not Applicable"))))</f>
        <v>0</v>
      </c>
      <c r="K83" s="120">
        <f>IF('NZS O&amp;G Summary'!$L$49="Y",1,IF('NZS O&amp;G Summary'!$L$49="n",0,IF('NZS O&amp;G Summary'!$L$49="Under development","Under development",IF('NZS O&amp;G Summary'!$L$49="Not applicable", "Not Applicable"))))</f>
        <v>0</v>
      </c>
      <c r="L83" s="120">
        <f>IF('NZS O&amp;G Summary'!$M$49="Y",1,IF('NZS O&amp;G Summary'!$M$49="N",0,IF('NZS O&amp;G Summary'!$M$49="Under development","Under development",IF('NZS O&amp;G Summary'!$M$49="Not applicable", "Not Applicable"))))</f>
        <v>0</v>
      </c>
      <c r="M83" s="120">
        <f>IF('NZS O&amp;G Summary'!$N$49="Y",1,IF('NZS O&amp;G Summary'!$N$49="n",0,IF('NZS O&amp;G Summary'!$N$49="Under development","Under development",IF('NZS O&amp;G Summary'!$N$49="Not applicable", "Not Applicable"))))</f>
        <v>0</v>
      </c>
      <c r="N83" s="120">
        <f>IF('NZS O&amp;G Summary'!$O$49="Y",1,IF('NZS O&amp;G Summary'!$O$49="N",0,IF('NZS O&amp;G Summary'!$O$49="Under development","Under development",IF('NZS O&amp;G Summary'!$O$49="Not applicable", "Not Applicable"))))</f>
        <v>0</v>
      </c>
      <c r="O83" s="122"/>
      <c r="R83" s="50"/>
    </row>
    <row r="84" spans="2:18" s="40" customFormat="1" ht="15" customHeight="1" outlineLevel="2">
      <c r="B84" s="145" t="str">
        <f t="shared" si="19"/>
        <v>5.iv.c</v>
      </c>
      <c r="C84" s="126" t="s">
        <v>448</v>
      </c>
      <c r="D84" s="127" t="s">
        <v>44</v>
      </c>
      <c r="E84" s="120">
        <f>IF('NZS O&amp;G Summary'!$F$50="Y",1,IF('NZS O&amp;G Summary'!$F$50="n",0,IF('NZS O&amp;G Summary'!$F$50="Under development","Under development",IF('NZS O&amp;G Summary'!$F$50="Not applicable", "Not Applicable"))))</f>
        <v>0</v>
      </c>
      <c r="F84" s="120">
        <f>IF('NZS O&amp;G Summary'!$G$50="y",1,IF('NZS O&amp;G Summary'!$G$50="n",0,IF('NZS O&amp;G Summary'!$G$50="Under development","Under development",IF('NZS O&amp;G Summary'!$G$50="Not applicable", "Not Applicable"))))</f>
        <v>0</v>
      </c>
      <c r="G84" s="120">
        <f>IF('NZS O&amp;G Summary'!$H$50="y",1,IF('NZS O&amp;G Summary'!$H$50="n",0,IF('NZS O&amp;G Summary'!$H$50="Under development","Under development",IF('NZS O&amp;G Summary'!$H$50="Not applicable", "Not Applicable"))))</f>
        <v>0</v>
      </c>
      <c r="H84" s="120">
        <f>IF('NZS O&amp;G Summary'!$I$50="y",1,IF('NZS O&amp;G Summary'!$I$50="N",0,IF('NZS O&amp;G Summary'!$I$50="Under development","Under development",IF('NZS O&amp;G Summary'!$I$50="Not applicable", "Not Applicable"))))</f>
        <v>0</v>
      </c>
      <c r="I84" s="120">
        <f>IF('NZS O&amp;G Summary'!$J$50="Y",1,IF('NZS O&amp;G Summary'!$J$50="n",0,IF('NZS O&amp;G Summary'!$J$50="Under development","Under development",IF('NZS O&amp;G Summary'!$J$50="Not applicable", "Not Applicable"))))</f>
        <v>0</v>
      </c>
      <c r="J84" s="120">
        <f>IF('NZS O&amp;G Summary'!$K$50="Y",1,IF('NZS O&amp;G Summary'!$K$50="N",0,IF('NZS O&amp;G Summary'!$K$50="Under development","Under development",IF('NZS O&amp;G Summary'!$K$50="Not applicable", "Not Applicable"))))</f>
        <v>0</v>
      </c>
      <c r="K84" s="120">
        <f>IF('NZS O&amp;G Summary'!$L$50="Y",1,IF('NZS O&amp;G Summary'!$L$50="n",0,IF('NZS O&amp;G Summary'!$L$50="Under development","Under development",IF('NZS O&amp;G Summary'!$L$50="Not applicable", "Not Applicable"))))</f>
        <v>0</v>
      </c>
      <c r="L84" s="120">
        <f>IF('NZS O&amp;G Summary'!$M$50="Y",1,IF('NZS O&amp;G Summary'!$M$50="N",0,IF('NZS O&amp;G Summary'!$M$50="Under development","Under development",IF('NZS O&amp;G Summary'!$M$50="Not applicable", "Not Applicable"))))</f>
        <v>0</v>
      </c>
      <c r="M84" s="120">
        <f>IF('NZS O&amp;G Summary'!$N$50="Y",1,IF('NZS O&amp;G Summary'!$N$50="n",0,IF('NZS O&amp;G Summary'!$N$50="Under development","Under development",IF('NZS O&amp;G Summary'!$N$50="Not applicable", "Not Applicable"))))</f>
        <v>0</v>
      </c>
      <c r="N84" s="120">
        <f>IF('NZS O&amp;G Summary'!$O$50="Y",1,IF('NZS O&amp;G Summary'!$O$50="N",0,IF('NZS O&amp;G Summary'!$O$50="Under development","Under development",IF('NZS O&amp;G Summary'!$O$50="Not applicable", "Not Applicable"))))</f>
        <v>0</v>
      </c>
      <c r="O84" s="122"/>
      <c r="R84" s="50"/>
    </row>
    <row r="85" spans="2:18" s="40" customFormat="1" ht="15" customHeight="1" outlineLevel="2">
      <c r="B85" s="145" t="str">
        <f t="shared" si="19"/>
        <v>5.iv.d</v>
      </c>
      <c r="C85" s="126" t="s">
        <v>449</v>
      </c>
      <c r="D85" s="127" t="s">
        <v>44</v>
      </c>
      <c r="E85" s="120">
        <f>IF('NZS O&amp;G Summary'!$F$51="Y",1,IF('NZS O&amp;G Summary'!$F$51="n",0,IF('NZS O&amp;G Summary'!$F$51="Under development","Under development",IF('NZS O&amp;G Summary'!$F$51="Not applicable", "Not Applicable"))))</f>
        <v>1</v>
      </c>
      <c r="F85" s="120">
        <f>IF('NZS O&amp;G Summary'!$G$51="y",1,IF('NZS O&amp;G Summary'!$G$51="n",0,IF('NZS O&amp;G Summary'!$G$51="Under development","Under development",IF('NZS O&amp;G Summary'!$G$51="Not applicable", "Not Applicable"))))</f>
        <v>0</v>
      </c>
      <c r="G85" s="120">
        <f>IF('NZS O&amp;G Summary'!$H$51="y",1,IF('NZS O&amp;G Summary'!$H$51="n",0,IF('NZS O&amp;G Summary'!$H$51="Under development","Under development",IF('NZS O&amp;G Summary'!$H$51="Not applicable", "Not Applicable"))))</f>
        <v>0</v>
      </c>
      <c r="H85" s="120">
        <f>IF('NZS O&amp;G Summary'!$I$51="y",1,IF('NZS O&amp;G Summary'!$I$51="N",0,IF('NZS O&amp;G Summary'!$I$51="Under development","Under development",IF('NZS O&amp;G Summary'!$I$51="Not applicable", "Not Applicable"))))</f>
        <v>0</v>
      </c>
      <c r="I85" s="120">
        <f>IF('NZS O&amp;G Summary'!$J$51="Y",1,IF('NZS O&amp;G Summary'!$J$51="n",0,IF('NZS O&amp;G Summary'!$J$51="Under development","Under development",IF('NZS O&amp;G Summary'!$J$51="Not applicable", "Not Applicable"))))</f>
        <v>0</v>
      </c>
      <c r="J85" s="120">
        <f>IF('NZS O&amp;G Summary'!$K$51="Y",1,IF('NZS O&amp;G Summary'!$K$51="N",0,IF('NZS O&amp;G Summary'!$K$51="Under development","Under development",IF('NZS O&amp;G Summary'!$K$51="Not applicable", "Not Applicable"))))</f>
        <v>0</v>
      </c>
      <c r="K85" s="120">
        <f>IF('NZS O&amp;G Summary'!$L$51="Y",1,IF('NZS O&amp;G Summary'!$L$51="n",0,IF('NZS O&amp;G Summary'!$L$51="Under development","Under development",IF('NZS O&amp;G Summary'!$L$51="Not applicable", "Not Applicable"))))</f>
        <v>0</v>
      </c>
      <c r="L85" s="120">
        <f>IF('NZS O&amp;G Summary'!$M$51="Y",1,IF('NZS O&amp;G Summary'!$M$51="N",0,IF('NZS O&amp;G Summary'!$M$51="Under development","Under development",IF('NZS O&amp;G Summary'!$M$51="Not applicable", "Not Applicable"))))</f>
        <v>0</v>
      </c>
      <c r="M85" s="120">
        <f>IF('NZS O&amp;G Summary'!$N$51="Y",1,IF('NZS O&amp;G Summary'!$N$51="n",0,IF('NZS O&amp;G Summary'!$N$51="Under development","Under development",IF('NZS O&amp;G Summary'!$N$51="Not applicable", "Not Applicable"))))</f>
        <v>0</v>
      </c>
      <c r="N85" s="120">
        <f>IF('NZS O&amp;G Summary'!$O$51="Y",1,IF('NZS O&amp;G Summary'!$O$51="N",0,IF('NZS O&amp;G Summary'!$O$51="Under development","Under development",IF('NZS O&amp;G Summary'!$O$51="Not applicable", "Not Applicable"))))</f>
        <v>1</v>
      </c>
      <c r="O85" s="122"/>
      <c r="R85" s="50"/>
    </row>
    <row r="86" spans="2:18" s="40" customFormat="1" ht="15" customHeight="1" outlineLevel="2">
      <c r="B86" s="145" t="str">
        <f t="shared" si="19"/>
        <v>5.iv.e</v>
      </c>
      <c r="C86" s="126" t="s">
        <v>450</v>
      </c>
      <c r="D86" s="127" t="s">
        <v>44</v>
      </c>
      <c r="E86" s="120">
        <f>IF('NZS O&amp;G Summary'!$F$52="Y",1,IF('NZS O&amp;G Summary'!$F$52="n",0,IF('NZS O&amp;G Summary'!$F$52="Under development","Under development",IF('NZS O&amp;G Summary'!$F$52="Not applicable", "Not Applicable"))))</f>
        <v>1</v>
      </c>
      <c r="F86" s="120">
        <f>IF('NZS O&amp;G Summary'!$G$52="y",1,IF('NZS O&amp;G Summary'!$G$52="n",0,IF('NZS O&amp;G Summary'!$G$52="Under development","Under development",IF('NZS O&amp;G Summary'!$G$52="Not applicable", "Not Applicable"))))</f>
        <v>1</v>
      </c>
      <c r="G86" s="120">
        <f>IF('NZS O&amp;G Summary'!$H$52="y",1,IF('NZS O&amp;G Summary'!$H$52="n",0,IF('NZS O&amp;G Summary'!$H$52="Under development","Under development",IF('NZS O&amp;G Summary'!$H$52="Not applicable", "Not Applicable"))))</f>
        <v>1</v>
      </c>
      <c r="H86" s="120">
        <f>IF('NZS O&amp;G Summary'!$I$52="y",1,IF('NZS O&amp;G Summary'!$I$52="N",0,IF('NZS O&amp;G Summary'!$I$52="Under development","Under development",IF('NZS O&amp;G Summary'!$I$52="Not applicable", "Not Applicable"))))</f>
        <v>1</v>
      </c>
      <c r="I86" s="120">
        <f>IF('NZS O&amp;G Summary'!$J$52="Y",1,IF('NZS O&amp;G Summary'!$J$52="n",0,IF('NZS O&amp;G Summary'!$J$52="Under development","Under development",IF('NZS O&amp;G Summary'!$J$52="Not applicable", "Not Applicable"))))</f>
        <v>1</v>
      </c>
      <c r="J86" s="120">
        <f>IF('NZS O&amp;G Summary'!$K$52="Y",1,IF('NZS O&amp;G Summary'!$K$52="N",0,IF('NZS O&amp;G Summary'!$K$52="Under development","Under development",IF('NZS O&amp;G Summary'!$K$52="Not applicable", "Not Applicable"))))</f>
        <v>1</v>
      </c>
      <c r="K86" s="120">
        <f>IF('NZS O&amp;G Summary'!$L$52="Y",1,IF('NZS O&amp;G Summary'!$L$52="n",0,IF('NZS O&amp;G Summary'!$L$52="Under development","Under development",IF('NZS O&amp;G Summary'!$L$52="Not applicable", "Not Applicable"))))</f>
        <v>1</v>
      </c>
      <c r="L86" s="120">
        <f>IF('NZS O&amp;G Summary'!$M$52="Y",1,IF('NZS O&amp;G Summary'!$M$52="N",0,IF('NZS O&amp;G Summary'!$M$52="Under development","Under development",IF('NZS O&amp;G Summary'!$M$52="Not applicable", "Not Applicable"))))</f>
        <v>1</v>
      </c>
      <c r="M86" s="120">
        <f>IF('NZS O&amp;G Summary'!$N$52="Y",1,IF('NZS O&amp;G Summary'!$N$52="n",0,IF('NZS O&amp;G Summary'!$N$52="Under development","Under development",IF('NZS O&amp;G Summary'!$N$52="Not applicable", "Not Applicable"))))</f>
        <v>0</v>
      </c>
      <c r="N86" s="120">
        <f>IF('NZS O&amp;G Summary'!$O$52="Y",1,IF('NZS O&amp;G Summary'!$O$52="N",0,IF('NZS O&amp;G Summary'!$O$52="Under development","Under development",IF('NZS O&amp;G Summary'!$O$52="Not applicable", "Not Applicable"))))</f>
        <v>1</v>
      </c>
      <c r="O86" s="122"/>
      <c r="R86" s="50"/>
    </row>
    <row r="87" spans="2:18" s="40" customFormat="1" ht="15" customHeight="1" outlineLevel="2">
      <c r="B87" s="145" t="str">
        <f t="shared" si="19"/>
        <v>5.iv.f</v>
      </c>
      <c r="C87" s="126" t="s">
        <v>451</v>
      </c>
      <c r="D87" s="127" t="s">
        <v>44</v>
      </c>
      <c r="E87" s="120">
        <f>IF('NZS O&amp;G Summary'!$F$53="Y",1,IF('NZS O&amp;G Summary'!$F$53="n",0,IF('NZS O&amp;G Summary'!$F$53="Under development","Under development",IF('NZS O&amp;G Summary'!$F$53="Not applicable", "Not Applicable"))))</f>
        <v>0</v>
      </c>
      <c r="F87" s="120">
        <f>IF('NZS O&amp;G Summary'!$G$53="y",1,IF('NZS O&amp;G Summary'!$G$53="n",0,IF('NZS O&amp;G Summary'!$G$53="Under development","Under development",IF('NZS O&amp;G Summary'!$G$53="Not applicable", "Not Applicable"))))</f>
        <v>0</v>
      </c>
      <c r="G87" s="120">
        <f>IF('NZS O&amp;G Summary'!$H$53="y",1,IF('NZS O&amp;G Summary'!$H$53="n",0,IF('NZS O&amp;G Summary'!$H$53="Under development","Under development",IF('NZS O&amp;G Summary'!$H$53="Not applicable", "Not Applicable"))))</f>
        <v>1</v>
      </c>
      <c r="H87" s="120">
        <f>IF('NZS O&amp;G Summary'!$I$53="y",1,IF('NZS O&amp;G Summary'!$I$53="N",0,IF('NZS O&amp;G Summary'!$I$53="Under development","Under development",IF('NZS O&amp;G Summary'!$I$53="Not applicable", "Not Applicable"))))</f>
        <v>0</v>
      </c>
      <c r="I87" s="120">
        <f>IF('NZS O&amp;G Summary'!$J$53="Y",1,IF('NZS O&amp;G Summary'!$J$53="n",0,IF('NZS O&amp;G Summary'!$J$53="Under development","Under development",IF('NZS O&amp;G Summary'!$J$53="Not applicable", "Not Applicable"))))</f>
        <v>0</v>
      </c>
      <c r="J87" s="120">
        <f>IF('NZS O&amp;G Summary'!$K$53="Y",1,IF('NZS O&amp;G Summary'!$K$53="N",0,IF('NZS O&amp;G Summary'!$K$53="Under development","Under development",IF('NZS O&amp;G Summary'!$K$53="Not applicable", "Not Applicable"))))</f>
        <v>0</v>
      </c>
      <c r="K87" s="120">
        <f>IF('NZS O&amp;G Summary'!$L$53="Y",1,IF('NZS O&amp;G Summary'!$L$53="n",0,IF('NZS O&amp;G Summary'!$L$53="Under development","Under development",IF('NZS O&amp;G Summary'!$L$53="Not applicable", "Not Applicable"))))</f>
        <v>0</v>
      </c>
      <c r="L87" s="120">
        <f>IF('NZS O&amp;G Summary'!$M$53="Y",1,IF('NZS O&amp;G Summary'!$M$53="N",0,IF('NZS O&amp;G Summary'!$M$53="Under development","Under development",IF('NZS O&amp;G Summary'!$M$53="Not applicable", "Not Applicable"))))</f>
        <v>0</v>
      </c>
      <c r="M87" s="120">
        <f>IF('NZS O&amp;G Summary'!$N$53="Y",1,IF('NZS O&amp;G Summary'!$N$53="n",0,IF('NZS O&amp;G Summary'!$N$53="Under development","Under development",IF('NZS O&amp;G Summary'!$N$53="Not applicable", "Not Applicable"))))</f>
        <v>0</v>
      </c>
      <c r="N87" s="120">
        <f>IF('NZS O&amp;G Summary'!$O$53="Y",1,IF('NZS O&amp;G Summary'!$O$53="N",0,IF('NZS O&amp;G Summary'!$O$53="Under development","Under development",IF('NZS O&amp;G Summary'!$O$53="Not applicable", "Not Applicable"))))</f>
        <v>1</v>
      </c>
      <c r="O87" s="122"/>
      <c r="R87" s="50"/>
    </row>
    <row r="88" spans="2:18" s="40" customFormat="1" ht="15" customHeight="1" outlineLevel="2">
      <c r="B88" s="145" t="str">
        <f t="shared" si="19"/>
        <v>5.iv.g</v>
      </c>
      <c r="C88" s="126" t="s">
        <v>452</v>
      </c>
      <c r="D88" s="127" t="s">
        <v>45</v>
      </c>
      <c r="E88" s="120" t="str">
        <f>IF('NZS O&amp;G Summary'!$F$54="Y",1,IF('NZS O&amp;G Summary'!$F$54="n",0,IF('NZS O&amp;G Summary'!$F$54="Under development","Under development",IF('NZS O&amp;G Summary'!$F$54="Not applicable", "Not Applicable"))))</f>
        <v>Under development</v>
      </c>
      <c r="F88" s="120" t="str">
        <f>IF('NZS O&amp;G Summary'!$G$54="y",1,IF('NZS O&amp;G Summary'!$G$54="n",0,IF('NZS O&amp;G Summary'!$G$54="Under development","Under development",IF('NZS O&amp;G Summary'!$G$54="Not applicable", "Not Applicable"))))</f>
        <v>Under development</v>
      </c>
      <c r="G88" s="120" t="str">
        <f>IF('NZS O&amp;G Summary'!$H$54="y",1,IF('NZS O&amp;G Summary'!$H$54="n",0,IF('NZS O&amp;G Summary'!$H$54="Under development","Under development",IF('NZS O&amp;G Summary'!$H$54="Not applicable", "Not Applicable"))))</f>
        <v>Under development</v>
      </c>
      <c r="H88" s="120" t="str">
        <f>IF('NZS O&amp;G Summary'!$I$54="y",1,IF('NZS O&amp;G Summary'!$I$54="N",0,IF('NZS O&amp;G Summary'!$I$54="Under development","Under development",IF('NZS O&amp;G Summary'!$I$54="Not applicable", "Not Applicable"))))</f>
        <v>Under development</v>
      </c>
      <c r="I88" s="120" t="str">
        <f>IF('NZS O&amp;G Summary'!$J$54="Y",1,IF('NZS O&amp;G Summary'!$J$54="n",0,IF('NZS O&amp;G Summary'!$J$54="Under development","Under development",IF('NZS O&amp;G Summary'!$J$54="Not applicable", "Not Applicable"))))</f>
        <v>Under development</v>
      </c>
      <c r="J88" s="120" t="str">
        <f>IF('NZS O&amp;G Summary'!$K$54="Y",1,IF('NZS O&amp;G Summary'!$K$54="N",0,IF('NZS O&amp;G Summary'!$K$54="Under development","Under development",IF('NZS O&amp;G Summary'!$K$54="Not applicable", "Not Applicable"))))</f>
        <v>Under development</v>
      </c>
      <c r="K88" s="120" t="str">
        <f>IF('NZS O&amp;G Summary'!$L$54="Y",1,IF('NZS O&amp;G Summary'!$L$54="n",0,IF('NZS O&amp;G Summary'!$L$54="Under development","Under development",IF('NZS O&amp;G Summary'!$L$54="Not applicable", "Not Applicable"))))</f>
        <v>Under development</v>
      </c>
      <c r="L88" s="120" t="str">
        <f>IF('NZS O&amp;G Summary'!$M$54="Y",1,IF('NZS O&amp;G Summary'!$M$54="N",0,IF('NZS O&amp;G Summary'!$M$54="Under development","Under development",IF('NZS O&amp;G Summary'!$M$54="Not applicable", "Not Applicable"))))</f>
        <v>Under development</v>
      </c>
      <c r="M88" s="120" t="str">
        <f>IF('NZS O&amp;G Summary'!$N$54="Y",1,IF('NZS O&amp;G Summary'!$N$54="n",0,IF('NZS O&amp;G Summary'!$N$54="Under development","Under development",IF('NZS O&amp;G Summary'!$N$54="Not applicable", "Not Applicable"))))</f>
        <v>Under development</v>
      </c>
      <c r="N88" s="120" t="str">
        <f>IF('NZS O&amp;G Summary'!$O$54="Y",1,IF('NZS O&amp;G Summary'!$O$54="N",0,IF('NZS O&amp;G Summary'!$O$54="Under development","Under development",IF('NZS O&amp;G Summary'!$O$54="Not applicable", "Not Applicable"))))</f>
        <v>Under development</v>
      </c>
      <c r="O88" s="122"/>
      <c r="R88" s="50"/>
    </row>
    <row r="89" spans="2:18" s="40" customFormat="1" ht="15" customHeight="1" outlineLevel="1">
      <c r="B89" s="145" t="str">
        <f t="shared" si="19"/>
        <v>5.v</v>
      </c>
      <c r="C89" s="135" t="s">
        <v>453</v>
      </c>
      <c r="D89" s="127" t="s">
        <v>81</v>
      </c>
      <c r="E89" s="120">
        <f>AVERAGE(E90:E107)</f>
        <v>0.21428571428571427</v>
      </c>
      <c r="F89" s="120">
        <f t="shared" ref="F89:N89" si="21">AVERAGE(F90:F107)</f>
        <v>6.25E-2</v>
      </c>
      <c r="G89" s="120">
        <f t="shared" si="21"/>
        <v>0.14285714285714285</v>
      </c>
      <c r="H89" s="120">
        <f t="shared" si="21"/>
        <v>0</v>
      </c>
      <c r="I89" s="120">
        <f t="shared" si="21"/>
        <v>0</v>
      </c>
      <c r="J89" s="120">
        <f t="shared" si="21"/>
        <v>0</v>
      </c>
      <c r="K89" s="120">
        <f t="shared" si="21"/>
        <v>0.125</v>
      </c>
      <c r="L89" s="120">
        <f t="shared" si="21"/>
        <v>0.21428571428571427</v>
      </c>
      <c r="M89" s="120">
        <f t="shared" si="21"/>
        <v>0</v>
      </c>
      <c r="N89" s="120">
        <f t="shared" si="21"/>
        <v>0.5</v>
      </c>
      <c r="O89" s="122" t="s">
        <v>81</v>
      </c>
      <c r="R89" s="50"/>
    </row>
    <row r="90" spans="2:18" s="40" customFormat="1" ht="15" customHeight="1" outlineLevel="2">
      <c r="B90" s="145" t="str">
        <f t="shared" si="19"/>
        <v>5.v.a</v>
      </c>
      <c r="C90" s="126" t="s">
        <v>454</v>
      </c>
      <c r="D90" s="127" t="s">
        <v>44</v>
      </c>
      <c r="E90" s="120">
        <f>IF('NZS O&amp;G Summary'!$F$56="Y",1,IF('NZS O&amp;G Summary'!$F$56="n",0,IF('NZS O&amp;G Summary'!$F$56="Under development","Under development",IF('NZS O&amp;G Summary'!$F$56="Not applicable", "Not Applicable"))))</f>
        <v>0</v>
      </c>
      <c r="F90" s="120">
        <f>IF('NZS O&amp;G Summary'!$G$56="y",1,IF('NZS O&amp;G Summary'!$G$56="n",0,IF('NZS O&amp;G Summary'!$G$56="Under development","Under development",IF('NZS O&amp;G Summary'!$G$56="Not applicable", "Not Applicable"))))</f>
        <v>0</v>
      </c>
      <c r="G90" s="120">
        <f>IF('NZS O&amp;G Summary'!$H$56="y",1,IF('NZS O&amp;G Summary'!$H$56="n",0,IF('NZS O&amp;G Summary'!$H$56="Under development","Under development",IF('NZS O&amp;G Summary'!$H$56="Not applicable", "Not Applicable"))))</f>
        <v>0</v>
      </c>
      <c r="H90" s="120">
        <f>IF('NZS O&amp;G Summary'!$I$56="y",1,IF('NZS O&amp;G Summary'!$I$56="N",0,IF('NZS O&amp;G Summary'!$I$56="Under development","Under development",IF('NZS O&amp;G Summary'!$I$56="Not applicable", "Not Applicable"))))</f>
        <v>0</v>
      </c>
      <c r="I90" s="120">
        <f>IF('NZS O&amp;G Summary'!$J$56="Y",1,IF('NZS O&amp;G Summary'!$J$56="n",0,IF('NZS O&amp;G Summary'!$J$56="Under development","Under development",IF('NZS O&amp;G Summary'!$J$56="Not applicable", "Not Applicable"))))</f>
        <v>0</v>
      </c>
      <c r="J90" s="120">
        <f>IF('NZS O&amp;G Summary'!$K$56="Y",1,IF('NZS O&amp;G Summary'!$K$56="N",0,IF('NZS O&amp;G Summary'!$K$56="Under development","Under development",IF('NZS O&amp;G Summary'!$K$56="Not applicable", "Not Applicable"))))</f>
        <v>0</v>
      </c>
      <c r="K90" s="120">
        <f>IF('NZS O&amp;G Summary'!$L$56="Y",1,IF('NZS O&amp;G Summary'!$L$56="n",0,IF('NZS O&amp;G Summary'!$L$56="Under development","Under development",IF('NZS O&amp;G Summary'!$L$56="Not applicable", "Not Applicable"))))</f>
        <v>0</v>
      </c>
      <c r="L90" s="120">
        <f>IF('NZS O&amp;G Summary'!$M$56="Y",1,IF('NZS O&amp;G Summary'!$M$56="N",0,IF('NZS O&amp;G Summary'!$M$56="Under development","Under development",IF('NZS O&amp;G Summary'!$M$56="Not applicable", "Not Applicable"))))</f>
        <v>0</v>
      </c>
      <c r="M90" s="120">
        <f>IF('NZS O&amp;G Summary'!$N$56="Y",1,IF('NZS O&amp;G Summary'!$N$56="n",0,IF('NZS O&amp;G Summary'!$N$56="Under development","Under development",IF('NZS O&amp;G Summary'!$N$56="Not applicable", "Not Applicable"))))</f>
        <v>0</v>
      </c>
      <c r="N90" s="120">
        <f>IF('NZS O&amp;G Summary'!$O$56="Y",1,IF('NZS O&amp;G Summary'!$O$56="N",0,IF('NZS O&amp;G Summary'!$O$56="Under development","Under development",IF('NZS O&amp;G Summary'!$O$56="Not applicable", "Not Applicable"))))</f>
        <v>0</v>
      </c>
      <c r="O90" s="122"/>
      <c r="R90" s="50"/>
    </row>
    <row r="91" spans="2:18" s="40" customFormat="1" ht="15" customHeight="1" outlineLevel="2">
      <c r="B91" s="145" t="str">
        <f t="shared" si="19"/>
        <v>5.v.b</v>
      </c>
      <c r="C91" s="126" t="s">
        <v>455</v>
      </c>
      <c r="D91" s="127" t="s">
        <v>44</v>
      </c>
      <c r="E91" s="120">
        <f>IF('NZS O&amp;G Summary'!$F$57="Y",1,IF('NZS O&amp;G Summary'!$F$57="n",0,IF('NZS O&amp;G Summary'!$F$57="Under development","Under development",IF('NZS O&amp;G Summary'!$F$57="Not applicable", "Not Applicable"))))</f>
        <v>0</v>
      </c>
      <c r="F91" s="120">
        <f>IF('NZS O&amp;G Summary'!$G$57="y",1,IF('NZS O&amp;G Summary'!$G$57="n",0,IF('NZS O&amp;G Summary'!$G$57="Under development","Under development",IF('NZS O&amp;G Summary'!$G$57="Not applicable", "Not Applicable"))))</f>
        <v>0</v>
      </c>
      <c r="G91" s="120">
        <f>IF('NZS O&amp;G Summary'!$H$57="y",1,IF('NZS O&amp;G Summary'!$H$57="n",0,IF('NZS O&amp;G Summary'!$H$57="Under development","Under development",IF('NZS O&amp;G Summary'!$H$57="Not applicable", "Not Applicable"))))</f>
        <v>0</v>
      </c>
      <c r="H91" s="120">
        <f>IF('NZS O&amp;G Summary'!$I$57="y",1,IF('NZS O&amp;G Summary'!$I$57="N",0,IF('NZS O&amp;G Summary'!$I$57="Under development","Under development",IF('NZS O&amp;G Summary'!$I$57="Not applicable", "Not Applicable"))))</f>
        <v>0</v>
      </c>
      <c r="I91" s="120">
        <f>IF('NZS O&amp;G Summary'!$J$57="Y",1,IF('NZS O&amp;G Summary'!$J$57="n",0,IF('NZS O&amp;G Summary'!$J$57="Under development","Under development",IF('NZS O&amp;G Summary'!$J$57="Not applicable", "Not Applicable"))))</f>
        <v>0</v>
      </c>
      <c r="J91" s="120">
        <f>IF('NZS O&amp;G Summary'!$K$57="Y",1,IF('NZS O&amp;G Summary'!$K$57="N",0,IF('NZS O&amp;G Summary'!$K$57="Under development","Under development",IF('NZS O&amp;G Summary'!$K$57="Not applicable", "Not Applicable"))))</f>
        <v>0</v>
      </c>
      <c r="K91" s="120">
        <f>IF('NZS O&amp;G Summary'!$L$57="Y",1,IF('NZS O&amp;G Summary'!$L$57="n",0,IF('NZS O&amp;G Summary'!$L$57="Under development","Under development",IF('NZS O&amp;G Summary'!$L$57="Not applicable", "Not Applicable"))))</f>
        <v>0</v>
      </c>
      <c r="L91" s="120">
        <f>IF('NZS O&amp;G Summary'!$M$57="Y",1,IF('NZS O&amp;G Summary'!$M$57="N",0,IF('NZS O&amp;G Summary'!$M$57="Under development","Under development",IF('NZS O&amp;G Summary'!$M$57="Not applicable", "Not Applicable"))))</f>
        <v>0</v>
      </c>
      <c r="M91" s="120">
        <f>IF('NZS O&amp;G Summary'!$N$57="Y",1,IF('NZS O&amp;G Summary'!$N$57="n",0,IF('NZS O&amp;G Summary'!$N$57="Under development","Under development",IF('NZS O&amp;G Summary'!$N$57="Not applicable", "Not Applicable"))))</f>
        <v>0</v>
      </c>
      <c r="N91" s="120">
        <f>IF('NZS O&amp;G Summary'!$O$57="Y",1,IF('NZS O&amp;G Summary'!$O$57="N",0,IF('NZS O&amp;G Summary'!$O$57="Under development","Under development",IF('NZS O&amp;G Summary'!$O$57="Not applicable", "Not Applicable"))))</f>
        <v>1</v>
      </c>
      <c r="O91" s="122"/>
      <c r="R91" s="50"/>
    </row>
    <row r="92" spans="2:18" s="40" customFormat="1" ht="15" customHeight="1" outlineLevel="2">
      <c r="B92" s="145" t="str">
        <f t="shared" si="19"/>
        <v>5.v.c</v>
      </c>
      <c r="C92" s="126" t="s">
        <v>456</v>
      </c>
      <c r="D92" s="127" t="s">
        <v>44</v>
      </c>
      <c r="E92" s="120">
        <f>IF('NZS O&amp;G Summary'!$F$58="Y",1,IF('NZS O&amp;G Summary'!$F$58="n",0,IF('NZS O&amp;G Summary'!$F$58="Under development","Under development",IF('NZS O&amp;G Summary'!$F$58="Not applicable", "Not Applicable"))))</f>
        <v>0</v>
      </c>
      <c r="F92" s="120">
        <f>IF('NZS O&amp;G Summary'!$G$58="y",1,IF('NZS O&amp;G Summary'!$G$58="n",0,IF('NZS O&amp;G Summary'!$G$58="Under development","Under development",IF('NZS O&amp;G Summary'!$G$58="Not applicable", "Not Applicable"))))</f>
        <v>0</v>
      </c>
      <c r="G92" s="120">
        <f>IF('NZS O&amp;G Summary'!$H$58="y",1,IF('NZS O&amp;G Summary'!$H$58="n",0,IF('NZS O&amp;G Summary'!$H$58="Under development","Under development",IF('NZS O&amp;G Summary'!$H$58="Not applicable", "Not Applicable"))))</f>
        <v>0</v>
      </c>
      <c r="H92" s="120">
        <f>IF('NZS O&amp;G Summary'!$I$58="y",1,IF('NZS O&amp;G Summary'!$I$58="N",0,IF('NZS O&amp;G Summary'!$I$58="Under development","Under development",IF('NZS O&amp;G Summary'!$I$58="Not applicable", "Not Applicable"))))</f>
        <v>0</v>
      </c>
      <c r="I92" s="120">
        <f>IF('NZS O&amp;G Summary'!$J$58="Y",1,IF('NZS O&amp;G Summary'!$J$58="n",0,IF('NZS O&amp;G Summary'!$J$58="Under development","Under development",IF('NZS O&amp;G Summary'!$J$58="Not applicable", "Not Applicable"))))</f>
        <v>0</v>
      </c>
      <c r="J92" s="120">
        <f>IF('NZS O&amp;G Summary'!$K$58="Y",1,IF('NZS O&amp;G Summary'!$K$58="N",0,IF('NZS O&amp;G Summary'!$K$58="Under development","Under development",IF('NZS O&amp;G Summary'!$K$58="Not applicable", "Not Applicable"))))</f>
        <v>0</v>
      </c>
      <c r="K92" s="120">
        <f>IF('NZS O&amp;G Summary'!$L$58="Y",1,IF('NZS O&amp;G Summary'!$L$58="n",0,IF('NZS O&amp;G Summary'!$L$58="Under development","Under development",IF('NZS O&amp;G Summary'!$L$58="Not applicable", "Not Applicable"))))</f>
        <v>0</v>
      </c>
      <c r="L92" s="120">
        <f>IF('NZS O&amp;G Summary'!$M$58="Y",1,IF('NZS O&amp;G Summary'!$M$58="N",0,IF('NZS O&amp;G Summary'!$M$58="Under development","Under development",IF('NZS O&amp;G Summary'!$M$58="Not applicable", "Not Applicable"))))</f>
        <v>0</v>
      </c>
      <c r="M92" s="120">
        <f>IF('NZS O&amp;G Summary'!$N$58="Y",1,IF('NZS O&amp;G Summary'!$N$58="n",0,IF('NZS O&amp;G Summary'!$N$58="Under development","Under development",IF('NZS O&amp;G Summary'!$N$58="Not applicable", "Not Applicable"))))</f>
        <v>0</v>
      </c>
      <c r="N92" s="120">
        <f>IF('NZS O&amp;G Summary'!$O$58="Y",1,IF('NZS O&amp;G Summary'!$O$58="N",0,IF('NZS O&amp;G Summary'!$O$58="Under development","Under development",IF('NZS O&amp;G Summary'!$O$58="Not applicable", "Not Applicable"))))</f>
        <v>1</v>
      </c>
      <c r="O92" s="122"/>
      <c r="R92" s="50"/>
    </row>
    <row r="93" spans="2:18" s="40" customFormat="1" ht="15" customHeight="1" outlineLevel="2">
      <c r="B93" s="145" t="str">
        <f t="shared" si="19"/>
        <v>5.v.d</v>
      </c>
      <c r="C93" s="126" t="s">
        <v>457</v>
      </c>
      <c r="D93" s="127" t="s">
        <v>44</v>
      </c>
      <c r="E93" s="120">
        <f>IF('NZS O&amp;G Summary'!$F$59="Y",1,IF('NZS O&amp;G Summary'!$F$59="n",0,IF('NZS O&amp;G Summary'!$F$59="Under development","Under development",IF('NZS O&amp;G Summary'!$F$59="Not applicable", "Not Applicable"))))</f>
        <v>0</v>
      </c>
      <c r="F93" s="120">
        <f>IF('NZS O&amp;G Summary'!$G$59="y",1,IF('NZS O&amp;G Summary'!$G$59="n",0,IF('NZS O&amp;G Summary'!$G$59="Under development","Under development",IF('NZS O&amp;G Summary'!$G$59="Not applicable", "Not Applicable"))))</f>
        <v>0</v>
      </c>
      <c r="G93" s="120">
        <f>IF('NZS O&amp;G Summary'!$H$59="y",1,IF('NZS O&amp;G Summary'!$H$59="n",0,IF('NZS O&amp;G Summary'!$H$59="Under development","Under development",IF('NZS O&amp;G Summary'!$H$59="Not applicable", "Not Applicable"))))</f>
        <v>0</v>
      </c>
      <c r="H93" s="120">
        <f>IF('NZS O&amp;G Summary'!$I$59="y",1,IF('NZS O&amp;G Summary'!$I$59="N",0,IF('NZS O&amp;G Summary'!$I$59="Under development","Under development",IF('NZS O&amp;G Summary'!$I$59="Not applicable", "Not Applicable"))))</f>
        <v>0</v>
      </c>
      <c r="I93" s="120">
        <f>IF('NZS O&amp;G Summary'!$J$59="Y",1,IF('NZS O&amp;G Summary'!$J$59="n",0,IF('NZS O&amp;G Summary'!$J$59="Under development","Under development",IF('NZS O&amp;G Summary'!$J$59="Not applicable", "Not Applicable"))))</f>
        <v>0</v>
      </c>
      <c r="J93" s="120">
        <f>IF('NZS O&amp;G Summary'!$K$59="Y",1,IF('NZS O&amp;G Summary'!$K$59="N",0,IF('NZS O&amp;G Summary'!$K$59="Under development","Under development",IF('NZS O&amp;G Summary'!$K$59="Not applicable", "Not Applicable"))))</f>
        <v>0</v>
      </c>
      <c r="K93" s="120">
        <f>IF('NZS O&amp;G Summary'!$L$59="Y",1,IF('NZS O&amp;G Summary'!$L$59="n",0,IF('NZS O&amp;G Summary'!$L$59="Under development","Under development",IF('NZS O&amp;G Summary'!$L$59="Not applicable", "Not Applicable"))))</f>
        <v>1</v>
      </c>
      <c r="L93" s="120">
        <f>IF('NZS O&amp;G Summary'!$M$59="Y",1,IF('NZS O&amp;G Summary'!$M$59="N",0,IF('NZS O&amp;G Summary'!$M$59="Under development","Under development",IF('NZS O&amp;G Summary'!$M$59="Not applicable", "Not Applicable"))))</f>
        <v>0</v>
      </c>
      <c r="M93" s="120">
        <f>IF('NZS O&amp;G Summary'!$N$59="Y",1,IF('NZS O&amp;G Summary'!$N$59="n",0,IF('NZS O&amp;G Summary'!$N$59="Under development","Under development",IF('NZS O&amp;G Summary'!$N$59="Not applicable", "Not Applicable"))))</f>
        <v>0</v>
      </c>
      <c r="N93" s="120" t="str">
        <f>IF('NZS O&amp;G Summary'!$O$59="Y",1,IF('NZS O&amp;G Summary'!$O$59="N",0,IF('NZS O&amp;G Summary'!$O$59="Under development","Under development",IF('NZS O&amp;G Summary'!$O$59="Not applicable", "Not Applicable"))))</f>
        <v>Not Applicable</v>
      </c>
      <c r="O93" s="122"/>
      <c r="R93" s="50"/>
    </row>
    <row r="94" spans="2:18" s="40" customFormat="1" ht="15" customHeight="1" outlineLevel="2">
      <c r="B94" s="145" t="str">
        <f t="shared" si="19"/>
        <v>5.v.e</v>
      </c>
      <c r="C94" s="126" t="s">
        <v>458</v>
      </c>
      <c r="D94" s="127" t="s">
        <v>44</v>
      </c>
      <c r="E94" s="120">
        <f>IF('NZS O&amp;G Summary'!$F$60="Y",1,IF('NZS O&amp;G Summary'!$F$60="n",0,IF('NZS O&amp;G Summary'!$F$60="Under development","Under development",IF('NZS O&amp;G Summary'!$F$60="Not applicable", "Not Applicable"))))</f>
        <v>1</v>
      </c>
      <c r="F94" s="120">
        <f>IF('NZS O&amp;G Summary'!$G$60="y",1,IF('NZS O&amp;G Summary'!$G$60="n",0,IF('NZS O&amp;G Summary'!$G$60="Under development","Under development",IF('NZS O&amp;G Summary'!$G$60="Not applicable", "Not Applicable"))))</f>
        <v>0</v>
      </c>
      <c r="G94" s="120">
        <f>IF('NZS O&amp;G Summary'!$H$60="y",1,IF('NZS O&amp;G Summary'!$H$60="n",0,IF('NZS O&amp;G Summary'!$H$60="Under development","Under development",IF('NZS O&amp;G Summary'!$H$60="Not applicable", "Not Applicable"))))</f>
        <v>1</v>
      </c>
      <c r="H94" s="120">
        <f>IF('NZS O&amp;G Summary'!$I$60="y",1,IF('NZS O&amp;G Summary'!$I$60="N",0,IF('NZS O&amp;G Summary'!$I$60="Under development","Under development",IF('NZS O&amp;G Summary'!$I$60="Not applicable", "Not Applicable"))))</f>
        <v>0</v>
      </c>
      <c r="I94" s="120">
        <f>IF('NZS O&amp;G Summary'!$J$60="Y",1,IF('NZS O&amp;G Summary'!$J$60="n",0,IF('NZS O&amp;G Summary'!$J$60="Under development","Under development",IF('NZS O&amp;G Summary'!$J$60="Not applicable", "Not Applicable"))))</f>
        <v>0</v>
      </c>
      <c r="J94" s="120">
        <f>IF('NZS O&amp;G Summary'!$K$60="Y",1,IF('NZS O&amp;G Summary'!$K$60="N",0,IF('NZS O&amp;G Summary'!$K$60="Under development","Under development",IF('NZS O&amp;G Summary'!$K$60="Not applicable", "Not Applicable"))))</f>
        <v>0</v>
      </c>
      <c r="K94" s="120">
        <f>IF('NZS O&amp;G Summary'!$L$60="Y",1,IF('NZS O&amp;G Summary'!$L$60="n",0,IF('NZS O&amp;G Summary'!$L$60="Under development","Under development",IF('NZS O&amp;G Summary'!$L$60="Not applicable", "Not Applicable"))))</f>
        <v>0</v>
      </c>
      <c r="L94" s="120">
        <f>IF('NZS O&amp;G Summary'!$M$60="Y",1,IF('NZS O&amp;G Summary'!$M$60="N",0,IF('NZS O&amp;G Summary'!$M$60="Under development","Under development",IF('NZS O&amp;G Summary'!$M$60="Not applicable", "Not Applicable"))))</f>
        <v>1</v>
      </c>
      <c r="M94" s="120">
        <f>IF('NZS O&amp;G Summary'!$N$60="Y",1,IF('NZS O&amp;G Summary'!$N$60="n",0,IF('NZS O&amp;G Summary'!$N$60="Under development","Under development",IF('NZS O&amp;G Summary'!$N$60="Not applicable", "Not Applicable"))))</f>
        <v>0</v>
      </c>
      <c r="N94" s="120">
        <f>IF('NZS O&amp;G Summary'!$O$60="Y",1,IF('NZS O&amp;G Summary'!$O$60="N",0,IF('NZS O&amp;G Summary'!$O$60="Under development","Under development",IF('NZS O&amp;G Summary'!$O$60="Not applicable", "Not Applicable"))))</f>
        <v>1</v>
      </c>
      <c r="O94" s="122"/>
      <c r="R94" s="50"/>
    </row>
    <row r="95" spans="2:18" s="40" customFormat="1" ht="15" customHeight="1" outlineLevel="2">
      <c r="B95" s="145" t="str">
        <f t="shared" si="19"/>
        <v>5.v.f</v>
      </c>
      <c r="C95" s="126" t="s">
        <v>459</v>
      </c>
      <c r="D95" s="127" t="s">
        <v>44</v>
      </c>
      <c r="E95" s="120">
        <f>IF('NZS O&amp;G Summary'!$F$61="Y",1,IF('NZS O&amp;G Summary'!$F$61="n",0,IF('NZS O&amp;G Summary'!$F$61="Under development","Under development",IF('NZS O&amp;G Summary'!$F$61="Not applicable", "Not Applicable"))))</f>
        <v>1</v>
      </c>
      <c r="F95" s="120">
        <f>IF('NZS O&amp;G Summary'!$G$61="y",1,IF('NZS O&amp;G Summary'!$G$61="n",0,IF('NZS O&amp;G Summary'!$G$61="Under development","Under development",IF('NZS O&amp;G Summary'!$G$61="Not applicable", "Not Applicable"))))</f>
        <v>0</v>
      </c>
      <c r="G95" s="120">
        <f>IF('NZS O&amp;G Summary'!$H$61="y",1,IF('NZS O&amp;G Summary'!$H$61="n",0,IF('NZS O&amp;G Summary'!$H$61="Under development","Under development",IF('NZS O&amp;G Summary'!$H$61="Not applicable", "Not Applicable"))))</f>
        <v>1</v>
      </c>
      <c r="H95" s="120">
        <f>IF('NZS O&amp;G Summary'!$I$61="y",1,IF('NZS O&amp;G Summary'!$I$61="N",0,IF('NZS O&amp;G Summary'!$I$61="Under development","Under development",IF('NZS O&amp;G Summary'!$I$61="Not applicable", "Not Applicable"))))</f>
        <v>0</v>
      </c>
      <c r="I95" s="120">
        <f>IF('NZS O&amp;G Summary'!$J$61="Y",1,IF('NZS O&amp;G Summary'!$J$61="n",0,IF('NZS O&amp;G Summary'!$J$61="Under development","Under development",IF('NZS O&amp;G Summary'!$J$61="Not applicable", "Not Applicable"))))</f>
        <v>0</v>
      </c>
      <c r="J95" s="120">
        <f>IF('NZS O&amp;G Summary'!$K$61="Y",1,IF('NZS O&amp;G Summary'!$K$61="N",0,IF('NZS O&amp;G Summary'!$K$61="Under development","Under development",IF('NZS O&amp;G Summary'!$K$61="Not applicable", "Not Applicable"))))</f>
        <v>0</v>
      </c>
      <c r="K95" s="120">
        <f>IF('NZS O&amp;G Summary'!$L$61="Y",1,IF('NZS O&amp;G Summary'!$L$61="n",0,IF('NZS O&amp;G Summary'!$L$61="Under development","Under development",IF('NZS O&amp;G Summary'!$L$61="Not applicable", "Not Applicable"))))</f>
        <v>0</v>
      </c>
      <c r="L95" s="120">
        <f>IF('NZS O&amp;G Summary'!$M$61="Y",1,IF('NZS O&amp;G Summary'!$M$61="N",0,IF('NZS O&amp;G Summary'!$M$61="Under development","Under development",IF('NZS O&amp;G Summary'!$M$61="Not applicable", "Not Applicable"))))</f>
        <v>1</v>
      </c>
      <c r="M95" s="120">
        <f>IF('NZS O&amp;G Summary'!$N$61="Y",1,IF('NZS O&amp;G Summary'!$N$61="n",0,IF('NZS O&amp;G Summary'!$N$61="Under development","Under development",IF('NZS O&amp;G Summary'!$N$61="Not applicable", "Not Applicable"))))</f>
        <v>0</v>
      </c>
      <c r="N95" s="120">
        <f>IF('NZS O&amp;G Summary'!$O$61="Y",1,IF('NZS O&amp;G Summary'!$O$61="N",0,IF('NZS O&amp;G Summary'!$O$61="Under development","Under development",IF('NZS O&amp;G Summary'!$O$61="Not applicable", "Not Applicable"))))</f>
        <v>1</v>
      </c>
      <c r="O95" s="122"/>
      <c r="R95" s="50"/>
    </row>
    <row r="96" spans="2:18" s="40" customFormat="1" ht="15" customHeight="1" outlineLevel="2">
      <c r="B96" s="145" t="str">
        <f t="shared" si="19"/>
        <v>5.v.g</v>
      </c>
      <c r="C96" s="126" t="s">
        <v>460</v>
      </c>
      <c r="D96" s="127" t="s">
        <v>44</v>
      </c>
      <c r="E96" s="120" t="str">
        <f>IF('NZS O&amp;G Summary'!$F$62="Y",1,IF('NZS O&amp;G Summary'!$F$62="n",0,IF('NZS O&amp;G Summary'!$F$62="Under development","Under development",IF('NZS O&amp;G Summary'!$F$62="Not applicable", "Not Applicable"))))</f>
        <v>Not Applicable</v>
      </c>
      <c r="F96" s="120">
        <f>IF('NZS O&amp;G Summary'!$G$62="y",1,IF('NZS O&amp;G Summary'!$G$62="n",0,IF('NZS O&amp;G Summary'!$G$62="Under development","Under development",IF('NZS O&amp;G Summary'!$G$62="Not applicable", "Not Applicable"))))</f>
        <v>1</v>
      </c>
      <c r="G96" s="120" t="str">
        <f>IF('NZS O&amp;G Summary'!$H$62="y",1,IF('NZS O&amp;G Summary'!$H$62="n",0,IF('NZS O&amp;G Summary'!$H$62="Under development","Under development",IF('NZS O&amp;G Summary'!$H$62="Not applicable", "Not Applicable"))))</f>
        <v>Not Applicable</v>
      </c>
      <c r="H96" s="120">
        <f>IF('NZS O&amp;G Summary'!$I$62="y",1,IF('NZS O&amp;G Summary'!$I$62="N",0,IF('NZS O&amp;G Summary'!$I$62="Under development","Under development",IF('NZS O&amp;G Summary'!$I$62="Not applicable", "Not Applicable"))))</f>
        <v>0</v>
      </c>
      <c r="I96" s="120">
        <f>IF('NZS O&amp;G Summary'!$J$62="Y",1,IF('NZS O&amp;G Summary'!$J$62="n",0,IF('NZS O&amp;G Summary'!$J$62="Under development","Under development",IF('NZS O&amp;G Summary'!$J$62="Not applicable", "Not Applicable"))))</f>
        <v>0</v>
      </c>
      <c r="J96" s="120">
        <f>IF('NZS O&amp;G Summary'!$K$62="Y",1,IF('NZS O&amp;G Summary'!$K$62="N",0,IF('NZS O&amp;G Summary'!$K$62="Under development","Under development",IF('NZS O&amp;G Summary'!$K$62="Not applicable", "Not Applicable"))))</f>
        <v>0</v>
      </c>
      <c r="K96" s="120">
        <f>IF('NZS O&amp;G Summary'!$L$62="Y",1,IF('NZS O&amp;G Summary'!$L$62="n",0,IF('NZS O&amp;G Summary'!$L$62="Under development","Under development",IF('NZS O&amp;G Summary'!$L$62="Not applicable", "Not Applicable"))))</f>
        <v>1</v>
      </c>
      <c r="L96" s="120" t="str">
        <f>IF('NZS O&amp;G Summary'!$M$62="Y",1,IF('NZS O&amp;G Summary'!$M$62="N",0,IF('NZS O&amp;G Summary'!$M$62="Under development","Under development",IF('NZS O&amp;G Summary'!$M$62="Not applicable", "Not Applicable"))))</f>
        <v>Not Applicable</v>
      </c>
      <c r="M96" s="120">
        <f>IF('NZS O&amp;G Summary'!$N$62="Y",1,IF('NZS O&amp;G Summary'!$N$62="n",0,IF('NZS O&amp;G Summary'!$N$62="Under development","Under development",IF('NZS O&amp;G Summary'!$N$62="Not applicable", "Not Applicable"))))</f>
        <v>0</v>
      </c>
      <c r="N96" s="120" t="str">
        <f>IF('NZS O&amp;G Summary'!$O$62="Y",1,IF('NZS O&amp;G Summary'!$O$62="N",0,IF('NZS O&amp;G Summary'!$O$62="Under development","Under development",IF('NZS O&amp;G Summary'!$O$62="Not applicable", "Not Applicable"))))</f>
        <v>Not Applicable</v>
      </c>
      <c r="O96" s="122"/>
      <c r="R96" s="50"/>
    </row>
    <row r="97" spans="2:18" s="40" customFormat="1" ht="15" customHeight="1" outlineLevel="2">
      <c r="B97" s="145" t="str">
        <f t="shared" si="19"/>
        <v>5.v.h</v>
      </c>
      <c r="C97" s="126" t="s">
        <v>461</v>
      </c>
      <c r="D97" s="127" t="s">
        <v>45</v>
      </c>
      <c r="E97" s="120">
        <f>IF('NZS O&amp;G Summary'!$F$63="Y",1,IF('NZS O&amp;G Summary'!$F$63="n",0,IF('NZS O&amp;G Summary'!$F$63="Under development","Under development",IF('NZS O&amp;G Summary'!$F$63="Not applicable", "Not Applicable"))))</f>
        <v>0</v>
      </c>
      <c r="F97" s="120">
        <f>IF('NZS O&amp;G Summary'!$G$63="y",1,IF('NZS O&amp;G Summary'!$G$63="n",0,IF('NZS O&amp;G Summary'!$G$63="Under development","Under development",IF('NZS O&amp;G Summary'!$G$63="Not applicable", "Not Applicable"))))</f>
        <v>0</v>
      </c>
      <c r="G97" s="120">
        <f>IF('NZS O&amp;G Summary'!$H$63="y",1,IF('NZS O&amp;G Summary'!$H$63="n",0,IF('NZS O&amp;G Summary'!$H$63="Under development","Under development",IF('NZS O&amp;G Summary'!$H$63="Not applicable", "Not Applicable"))))</f>
        <v>0</v>
      </c>
      <c r="H97" s="120">
        <f>IF('NZS O&amp;G Summary'!$I$63="y",1,IF('NZS O&amp;G Summary'!$I$63="N",0,IF('NZS O&amp;G Summary'!$I$63="Under development","Under development",IF('NZS O&amp;G Summary'!$I$63="Not applicable", "Not Applicable"))))</f>
        <v>0</v>
      </c>
      <c r="I97" s="120">
        <f>IF('NZS O&amp;G Summary'!$J$63="Y",1,IF('NZS O&amp;G Summary'!$J$63="n",0,IF('NZS O&amp;G Summary'!$J$63="Under development","Under development",IF('NZS O&amp;G Summary'!$J$63="Not applicable", "Not Applicable"))))</f>
        <v>0</v>
      </c>
      <c r="J97" s="120">
        <f>IF('NZS O&amp;G Summary'!$K$63="Y",1,IF('NZS O&amp;G Summary'!$K$63="N",0,IF('NZS O&amp;G Summary'!$K$63="Under development","Under development",IF('NZS O&amp;G Summary'!$K$63="Not applicable", "Not Applicable"))))</f>
        <v>0</v>
      </c>
      <c r="K97" s="120">
        <f>IF('NZS O&amp;G Summary'!$L$63="Y",1,IF('NZS O&amp;G Summary'!$L$63="n",0,IF('NZS O&amp;G Summary'!$L$63="Under development","Under development",IF('NZS O&amp;G Summary'!$L$63="Not applicable", "Not Applicable"))))</f>
        <v>0</v>
      </c>
      <c r="L97" s="120">
        <f>IF('NZS O&amp;G Summary'!$M$63="Y",1,IF('NZS O&amp;G Summary'!$M$63="N",0,IF('NZS O&amp;G Summary'!$M$63="Under development","Under development",IF('NZS O&amp;G Summary'!$M$63="Not applicable", "Not Applicable"))))</f>
        <v>0</v>
      </c>
      <c r="M97" s="120">
        <f>IF('NZS O&amp;G Summary'!$N$63="Y",1,IF('NZS O&amp;G Summary'!$N$63="n",0,IF('NZS O&amp;G Summary'!$N$63="Under development","Under development",IF('NZS O&amp;G Summary'!$N$63="Not applicable", "Not Applicable"))))</f>
        <v>0</v>
      </c>
      <c r="N97" s="120">
        <f>IF('NZS O&amp;G Summary'!$O$63="Y",1,IF('NZS O&amp;G Summary'!$O$63="N",0,IF('NZS O&amp;G Summary'!$O$63="Under development","Under development",IF('NZS O&amp;G Summary'!$O$63="Not applicable", "Not Applicable"))))</f>
        <v>1</v>
      </c>
      <c r="O97" s="122"/>
      <c r="R97" s="50"/>
    </row>
    <row r="98" spans="2:18" s="40" customFormat="1" ht="15" customHeight="1" outlineLevel="2">
      <c r="B98" s="145" t="str">
        <f t="shared" si="19"/>
        <v>5.v.i</v>
      </c>
      <c r="C98" s="126" t="s">
        <v>462</v>
      </c>
      <c r="D98" s="127" t="s">
        <v>45</v>
      </c>
      <c r="E98" s="120">
        <f>IF('NZS O&amp;G Summary'!$F$64="Y",1,IF('NZS O&amp;G Summary'!$F$64="n",0,IF('NZS O&amp;G Summary'!$F$64="Under development","Under development",IF('NZS O&amp;G Summary'!$F$64="Not applicable", "Not Applicable"))))</f>
        <v>0</v>
      </c>
      <c r="F98" s="120">
        <f>IF('NZS O&amp;G Summary'!$G$64="y",1,IF('NZS O&amp;G Summary'!$G$64="n",0,IF('NZS O&amp;G Summary'!$G$64="Under development","Under development",IF('NZS O&amp;G Summary'!$G$64="Not applicable", "Not Applicable"))))</f>
        <v>0</v>
      </c>
      <c r="G98" s="120">
        <f>IF('NZS O&amp;G Summary'!$H$64="y",1,IF('NZS O&amp;G Summary'!$H$64="n",0,IF('NZS O&amp;G Summary'!$H$64="Under development","Under development",IF('NZS O&amp;G Summary'!$H$64="Not applicable", "Not Applicable"))))</f>
        <v>0</v>
      </c>
      <c r="H98" s="120">
        <f>IF('NZS O&amp;G Summary'!$I$64="y",1,IF('NZS O&amp;G Summary'!$I$64="N",0,IF('NZS O&amp;G Summary'!$I$64="Under development","Under development",IF('NZS O&amp;G Summary'!$I$64="Not applicable", "Not Applicable"))))</f>
        <v>0</v>
      </c>
      <c r="I98" s="120">
        <f>IF('NZS O&amp;G Summary'!$J$64="Y",1,IF('NZS O&amp;G Summary'!$J$64="n",0,IF('NZS O&amp;G Summary'!$J$64="Under development","Under development",IF('NZS O&amp;G Summary'!$J$64="Not applicable", "Not Applicable"))))</f>
        <v>0</v>
      </c>
      <c r="J98" s="120">
        <f>IF('NZS O&amp;G Summary'!$K$64="Y",1,IF('NZS O&amp;G Summary'!$K$64="N",0,IF('NZS O&amp;G Summary'!$K$64="Under development","Under development",IF('NZS O&amp;G Summary'!$K$64="Not applicable", "Not Applicable"))))</f>
        <v>0</v>
      </c>
      <c r="K98" s="120">
        <f>IF('NZS O&amp;G Summary'!$L$64="Y",1,IF('NZS O&amp;G Summary'!$L$64="n",0,IF('NZS O&amp;G Summary'!$L$64="Under development","Under development",IF('NZS O&amp;G Summary'!$L$64="Not applicable", "Not Applicable"))))</f>
        <v>0</v>
      </c>
      <c r="L98" s="120">
        <f>IF('NZS O&amp;G Summary'!$M$64="Y",1,IF('NZS O&amp;G Summary'!$M$64="N",0,IF('NZS O&amp;G Summary'!$M$64="Under development","Under development",IF('NZS O&amp;G Summary'!$M$64="Not applicable", "Not Applicable"))))</f>
        <v>0</v>
      </c>
      <c r="M98" s="120">
        <f>IF('NZS O&amp;G Summary'!$N$64="Y",1,IF('NZS O&amp;G Summary'!$N$64="n",0,IF('NZS O&amp;G Summary'!$N$64="Under development","Under development",IF('NZS O&amp;G Summary'!$N$64="Not applicable", "Not Applicable"))))</f>
        <v>0</v>
      </c>
      <c r="N98" s="120">
        <f>IF('NZS O&amp;G Summary'!$O$64="Y",1,IF('NZS O&amp;G Summary'!$O$64="N",0,IF('NZS O&amp;G Summary'!$O$64="Under development","Under development",IF('NZS O&amp;G Summary'!$O$64="Not applicable", "Not Applicable"))))</f>
        <v>0</v>
      </c>
      <c r="O98" s="122"/>
      <c r="R98" s="50"/>
    </row>
    <row r="99" spans="2:18" s="40" customFormat="1" ht="15" customHeight="1" outlineLevel="2">
      <c r="B99" s="145" t="str">
        <f t="shared" si="19"/>
        <v>5.v.j</v>
      </c>
      <c r="C99" s="126" t="s">
        <v>463</v>
      </c>
      <c r="D99" s="127" t="s">
        <v>45</v>
      </c>
      <c r="E99" s="120">
        <f>IF('NZS O&amp;G Summary'!$F$65="Y",1,IF('NZS O&amp;G Summary'!$F$65="n",0,IF('NZS O&amp;G Summary'!$F$65="Under development","Under development",IF('NZS O&amp;G Summary'!$F$65="Not applicable", "Not Applicable"))))</f>
        <v>0</v>
      </c>
      <c r="F99" s="120">
        <f>IF('NZS O&amp;G Summary'!$G$65="y",1,IF('NZS O&amp;G Summary'!$G$65="n",0,IF('NZS O&amp;G Summary'!$G$65="Under development","Under development",IF('NZS O&amp;G Summary'!$G$65="Not applicable", "Not Applicable"))))</f>
        <v>0</v>
      </c>
      <c r="G99" s="120">
        <f>IF('NZS O&amp;G Summary'!$H$65="y",1,IF('NZS O&amp;G Summary'!$H$65="n",0,IF('NZS O&amp;G Summary'!$H$65="Under development","Under development",IF('NZS O&amp;G Summary'!$H$65="Not applicable", "Not Applicable"))))</f>
        <v>0</v>
      </c>
      <c r="H99" s="120">
        <f>IF('NZS O&amp;G Summary'!$I$65="y",1,IF('NZS O&amp;G Summary'!$I$65="N",0,IF('NZS O&amp;G Summary'!$I$65="Under development","Under development",IF('NZS O&amp;G Summary'!$I$65="Not applicable", "Not Applicable"))))</f>
        <v>0</v>
      </c>
      <c r="I99" s="120">
        <f>IF('NZS O&amp;G Summary'!$J$65="Y",1,IF('NZS O&amp;G Summary'!$J$65="n",0,IF('NZS O&amp;G Summary'!$J$65="Under development","Under development",IF('NZS O&amp;G Summary'!$J$65="Not applicable", "Not Applicable"))))</f>
        <v>0</v>
      </c>
      <c r="J99" s="120">
        <f>IF('NZS O&amp;G Summary'!$K$65="Y",1,IF('NZS O&amp;G Summary'!$K$65="N",0,IF('NZS O&amp;G Summary'!$K$65="Under development","Under development",IF('NZS O&amp;G Summary'!$K$65="Not applicable", "Not Applicable"))))</f>
        <v>0</v>
      </c>
      <c r="K99" s="120">
        <f>IF('NZS O&amp;G Summary'!$L$65="Y",1,IF('NZS O&amp;G Summary'!$L$65="n",0,IF('NZS O&amp;G Summary'!$L$65="Under development","Under development",IF('NZS O&amp;G Summary'!$L$65="Not applicable", "Not Applicable"))))</f>
        <v>0</v>
      </c>
      <c r="L99" s="120">
        <f>IF('NZS O&amp;G Summary'!$M$65="Y",1,IF('NZS O&amp;G Summary'!$M$65="N",0,IF('NZS O&amp;G Summary'!$M$65="Under development","Under development",IF('NZS O&amp;G Summary'!$M$65="Not applicable", "Not Applicable"))))</f>
        <v>0</v>
      </c>
      <c r="M99" s="120">
        <f>IF('NZS O&amp;G Summary'!$N$65="Y",1,IF('NZS O&amp;G Summary'!$N$65="n",0,IF('NZS O&amp;G Summary'!$N$65="Under development","Under development",IF('NZS O&amp;G Summary'!$N$65="Not applicable", "Not Applicable"))))</f>
        <v>0</v>
      </c>
      <c r="N99" s="120" t="str">
        <f>IF('NZS O&amp;G Summary'!$O$65="Y",1,IF('NZS O&amp;G Summary'!$O$65="N",0,IF('NZS O&amp;G Summary'!$O$65="Under development","Under development",IF('NZS O&amp;G Summary'!$O$65="Not applicable", "Not Applicable"))))</f>
        <v>Not Applicable</v>
      </c>
      <c r="O99" s="122"/>
      <c r="R99" s="50"/>
    </row>
    <row r="100" spans="2:18" s="40" customFormat="1" ht="15" customHeight="1" outlineLevel="2">
      <c r="B100" s="145" t="str">
        <f t="shared" si="19"/>
        <v>5.v.k</v>
      </c>
      <c r="C100" s="126" t="s">
        <v>464</v>
      </c>
      <c r="D100" s="127" t="s">
        <v>45</v>
      </c>
      <c r="E100" s="120">
        <f>IF('NZS O&amp;G Summary'!$F$66="Y",1,IF('NZS O&amp;G Summary'!$F$66="n",0,IF('NZS O&amp;G Summary'!$F$66="Under development","Under development",IF('NZS O&amp;G Summary'!$F$66="Not applicable", "Not Applicable"))))</f>
        <v>0</v>
      </c>
      <c r="F100" s="120">
        <f>IF('NZS O&amp;G Summary'!$G$66="y",1,IF('NZS O&amp;G Summary'!$G$66="n",0,IF('NZS O&amp;G Summary'!$G$66="Under development","Under development",IF('NZS O&amp;G Summary'!$G$66="Not applicable", "Not Applicable"))))</f>
        <v>0</v>
      </c>
      <c r="G100" s="120">
        <f>IF('NZS O&amp;G Summary'!$H$66="y",1,IF('NZS O&amp;G Summary'!$H$66="n",0,IF('NZS O&amp;G Summary'!$H$66="Under development","Under development",IF('NZS O&amp;G Summary'!$H$66="Not applicable", "Not Applicable"))))</f>
        <v>0</v>
      </c>
      <c r="H100" s="120">
        <f>IF('NZS O&amp;G Summary'!$I$66="y",1,IF('NZS O&amp;G Summary'!$I$66="N",0,IF('NZS O&amp;G Summary'!$I$66="Under development","Under development",IF('NZS O&amp;G Summary'!$I$66="Not applicable", "Not Applicable"))))</f>
        <v>0</v>
      </c>
      <c r="I100" s="120">
        <f>IF('NZS O&amp;G Summary'!$J$66="Y",1,IF('NZS O&amp;G Summary'!$J$66="n",0,IF('NZS O&amp;G Summary'!$J$66="Under development","Under development",IF('NZS O&amp;G Summary'!$J$66="Not applicable", "Not Applicable"))))</f>
        <v>0</v>
      </c>
      <c r="J100" s="120">
        <f>IF('NZS O&amp;G Summary'!$K$66="Y",1,IF('NZS O&amp;G Summary'!$K$66="N",0,IF('NZS O&amp;G Summary'!$K$66="Under development","Under development",IF('NZS O&amp;G Summary'!$K$66="Not applicable", "Not Applicable"))))</f>
        <v>0</v>
      </c>
      <c r="K100" s="120">
        <f>IF('NZS O&amp;G Summary'!$L$66="Y",1,IF('NZS O&amp;G Summary'!$L$66="n",0,IF('NZS O&amp;G Summary'!$L$66="Under development","Under development",IF('NZS O&amp;G Summary'!$L$66="Not applicable", "Not Applicable"))))</f>
        <v>0</v>
      </c>
      <c r="L100" s="120">
        <f>IF('NZS O&amp;G Summary'!$M$66="Y",1,IF('NZS O&amp;G Summary'!$M$66="N",0,IF('NZS O&amp;G Summary'!$M$66="Under development","Under development",IF('NZS O&amp;G Summary'!$M$66="Not applicable", "Not Applicable"))))</f>
        <v>1</v>
      </c>
      <c r="M100" s="120">
        <f>IF('NZS O&amp;G Summary'!$N$66="Y",1,IF('NZS O&amp;G Summary'!$N$66="n",0,IF('NZS O&amp;G Summary'!$N$66="Under development","Under development",IF('NZS O&amp;G Summary'!$N$66="Not applicable", "Not Applicable"))))</f>
        <v>0</v>
      </c>
      <c r="N100" s="120">
        <f>IF('NZS O&amp;G Summary'!$O$66="Y",1,IF('NZS O&amp;G Summary'!$O$66="N",0,IF('NZS O&amp;G Summary'!$O$66="Under development","Under development",IF('NZS O&amp;G Summary'!$O$66="Not applicable", "Not Applicable"))))</f>
        <v>0</v>
      </c>
      <c r="O100" s="122"/>
      <c r="R100" s="50"/>
    </row>
    <row r="101" spans="2:18" s="40" customFormat="1" ht="15" customHeight="1" outlineLevel="2">
      <c r="B101" s="145" t="str">
        <f t="shared" si="19"/>
        <v>5.v.l</v>
      </c>
      <c r="C101" s="126" t="s">
        <v>465</v>
      </c>
      <c r="D101" s="127" t="s">
        <v>45</v>
      </c>
      <c r="E101" s="120">
        <f>IF('NZS O&amp;G Summary'!$F$67="Y",1,IF('NZS O&amp;G Summary'!$F$67="n",0,IF('NZS O&amp;G Summary'!$F$67="Under development","Under development",IF('NZS O&amp;G Summary'!$F$67="Not applicable", "Not Applicable"))))</f>
        <v>1</v>
      </c>
      <c r="F101" s="120">
        <f>IF('NZS O&amp;G Summary'!$G$67="y",1,IF('NZS O&amp;G Summary'!$G$67="n",0,IF('NZS O&amp;G Summary'!$G$67="Under development","Under development",IF('NZS O&amp;G Summary'!$G$67="Not applicable", "Not Applicable"))))</f>
        <v>0</v>
      </c>
      <c r="G101" s="120">
        <f>IF('NZS O&amp;G Summary'!$H$67="y",1,IF('NZS O&amp;G Summary'!$H$67="n",0,IF('NZS O&amp;G Summary'!$H$67="Under development","Under development",IF('NZS O&amp;G Summary'!$H$67="Not applicable", "Not Applicable"))))</f>
        <v>0</v>
      </c>
      <c r="H101" s="120">
        <f>IF('NZS O&amp;G Summary'!$I$67="y",1,IF('NZS O&amp;G Summary'!$I$67="N",0,IF('NZS O&amp;G Summary'!$I$67="Under development","Under development",IF('NZS O&amp;G Summary'!$I$67="Not applicable", "Not Applicable"))))</f>
        <v>0</v>
      </c>
      <c r="I101" s="120">
        <f>IF('NZS O&amp;G Summary'!$J$67="Y",1,IF('NZS O&amp;G Summary'!$J$67="n",0,IF('NZS O&amp;G Summary'!$J$67="Under development","Under development",IF('NZS O&amp;G Summary'!$J$67="Not applicable", "Not Applicable"))))</f>
        <v>0</v>
      </c>
      <c r="J101" s="120">
        <f>IF('NZS O&amp;G Summary'!$K$67="Y",1,IF('NZS O&amp;G Summary'!$K$67="N",0,IF('NZS O&amp;G Summary'!$K$67="Under development","Under development",IF('NZS O&amp;G Summary'!$K$67="Not applicable", "Not Applicable"))))</f>
        <v>0</v>
      </c>
      <c r="K101" s="120">
        <f>IF('NZS O&amp;G Summary'!$L$67="Y",1,IF('NZS O&amp;G Summary'!$L$67="n",0,IF('NZS O&amp;G Summary'!$L$67="Under development","Under development",IF('NZS O&amp;G Summary'!$L$67="Not applicable", "Not Applicable"))))</f>
        <v>0</v>
      </c>
      <c r="L101" s="120">
        <f>IF('NZS O&amp;G Summary'!$M$67="Y",1,IF('NZS O&amp;G Summary'!$M$67="N",0,IF('NZS O&amp;G Summary'!$M$67="Under development","Under development",IF('NZS O&amp;G Summary'!$M$67="Not applicable", "Not Applicable"))))</f>
        <v>0</v>
      </c>
      <c r="M101" s="120">
        <f>IF('NZS O&amp;G Summary'!$N$67="Y",1,IF('NZS O&amp;G Summary'!$N$67="n",0,IF('NZS O&amp;G Summary'!$N$67="Under development","Under development",IF('NZS O&amp;G Summary'!$N$67="Not applicable", "Not Applicable"))))</f>
        <v>0</v>
      </c>
      <c r="N101" s="120">
        <f>IF('NZS O&amp;G Summary'!$O$67="Y",1,IF('NZS O&amp;G Summary'!$O$67="N",0,IF('NZS O&amp;G Summary'!$O$67="Under development","Under development",IF('NZS O&amp;G Summary'!$O$67="Not applicable", "Not Applicable"))))</f>
        <v>0</v>
      </c>
      <c r="O101" s="122"/>
      <c r="R101" s="50"/>
    </row>
    <row r="102" spans="2:18" s="40" customFormat="1" ht="15" customHeight="1" outlineLevel="2">
      <c r="B102" s="145" t="str">
        <f t="shared" si="19"/>
        <v>5.v.m</v>
      </c>
      <c r="C102" s="126" t="s">
        <v>466</v>
      </c>
      <c r="D102" s="127" t="s">
        <v>45</v>
      </c>
      <c r="E102" s="120" t="str">
        <f>IF('NZS O&amp;G Summary'!$F$68="Y",1,IF('NZS O&amp;G Summary'!$F$68="n",0,IF('NZS O&amp;G Summary'!$F$68="Under development","Under development",IF('NZS O&amp;G Summary'!$F$68="Not applicable", "Not Applicable"))))</f>
        <v>Not Applicable</v>
      </c>
      <c r="F102" s="120">
        <f>IF('NZS O&amp;G Summary'!$G$68="y",1,IF('NZS O&amp;G Summary'!$G$68="n",0,IF('NZS O&amp;G Summary'!$G$68="Under development","Under development",IF('NZS O&amp;G Summary'!$G$68="Not applicable", "Not Applicable"))))</f>
        <v>0</v>
      </c>
      <c r="G102" s="120" t="str">
        <f>IF('NZS O&amp;G Summary'!$H$68="y",1,IF('NZS O&amp;G Summary'!$H$68="n",0,IF('NZS O&amp;G Summary'!$H$68="Under development","Under development",IF('NZS O&amp;G Summary'!$H$68="Not applicable", "Not Applicable"))))</f>
        <v>Not Applicable</v>
      </c>
      <c r="H102" s="120">
        <f>IF('NZS O&amp;G Summary'!$I$68="y",1,IF('NZS O&amp;G Summary'!$I$68="N",0,IF('NZS O&amp;G Summary'!$I$68="Under development","Under development",IF('NZS O&amp;G Summary'!$I$68="Not applicable", "Not Applicable"))))</f>
        <v>0</v>
      </c>
      <c r="I102" s="120">
        <f>IF('NZS O&amp;G Summary'!$J$68="Y",1,IF('NZS O&amp;G Summary'!$J$68="n",0,IF('NZS O&amp;G Summary'!$J$68="Under development","Under development",IF('NZS O&amp;G Summary'!$J$68="Not applicable", "Not Applicable"))))</f>
        <v>0</v>
      </c>
      <c r="J102" s="120">
        <f>IF('NZS O&amp;G Summary'!$K$68="Y",1,IF('NZS O&amp;G Summary'!$K$68="N",0,IF('NZS O&amp;G Summary'!$K$68="Under development","Under development",IF('NZS O&amp;G Summary'!$K$68="Not applicable", "Not Applicable"))))</f>
        <v>0</v>
      </c>
      <c r="K102" s="120">
        <f>IF('NZS O&amp;G Summary'!$L$68="Y",1,IF('NZS O&amp;G Summary'!$L$68="n",0,IF('NZS O&amp;G Summary'!$L$68="Under development","Under development",IF('NZS O&amp;G Summary'!$L$68="Not applicable", "Not Applicable"))))</f>
        <v>0</v>
      </c>
      <c r="L102" s="120" t="str">
        <f>IF('NZS O&amp;G Summary'!$M$68="Y",1,IF('NZS O&amp;G Summary'!$M$68="N",0,IF('NZS O&amp;G Summary'!$M$68="Under development","Under development",IF('NZS O&amp;G Summary'!$M$68="Not applicable", "Not Applicable"))))</f>
        <v>Not Applicable</v>
      </c>
      <c r="M102" s="120">
        <f>IF('NZS O&amp;G Summary'!$N$68="Y",1,IF('NZS O&amp;G Summary'!$N$68="n",0,IF('NZS O&amp;G Summary'!$N$68="Under development","Under development",IF('NZS O&amp;G Summary'!$N$68="Not applicable", "Not Applicable"))))</f>
        <v>0</v>
      </c>
      <c r="N102" s="120" t="str">
        <f>IF('NZS O&amp;G Summary'!$O$68="Y",1,IF('NZS O&amp;G Summary'!$O$68="N",0,IF('NZS O&amp;G Summary'!$O$68="Under development","Under development",IF('NZS O&amp;G Summary'!$O$68="Not applicable", "Not Applicable"))))</f>
        <v>Not Applicable</v>
      </c>
      <c r="O102" s="122"/>
      <c r="R102" s="50"/>
    </row>
    <row r="103" spans="2:18" s="40" customFormat="1" ht="15" customHeight="1" outlineLevel="2">
      <c r="B103" s="145" t="str">
        <f t="shared" si="19"/>
        <v>5.v.n</v>
      </c>
      <c r="C103" s="126" t="s">
        <v>467</v>
      </c>
      <c r="D103" s="127" t="s">
        <v>44</v>
      </c>
      <c r="E103" s="120">
        <f>IF('NZS O&amp;G Summary'!$F$69="Y",1,IF('NZS O&amp;G Summary'!$F$69="n",0,IF('NZS O&amp;G Summary'!$F$69="Under development","Under development",IF('NZS O&amp;G Summary'!$F$69="Not applicable", "Not Applicable"))))</f>
        <v>0</v>
      </c>
      <c r="F103" s="120">
        <f>IF('NZS O&amp;G Summary'!$G$69="y",1,IF('NZS O&amp;G Summary'!$G$69="n",0,IF('NZS O&amp;G Summary'!$G$69="Under development","Under development",IF('NZS O&amp;G Summary'!$G$69="Not applicable", "Not Applicable"))))</f>
        <v>0</v>
      </c>
      <c r="G103" s="120">
        <f>IF('NZS O&amp;G Summary'!$H$69="y",1,IF('NZS O&amp;G Summary'!$H$69="n",0,IF('NZS O&amp;G Summary'!$H$69="Under development","Under development",IF('NZS O&amp;G Summary'!$H$69="Not applicable", "Not Applicable"))))</f>
        <v>0</v>
      </c>
      <c r="H103" s="120">
        <f>IF('NZS O&amp;G Summary'!$I$69="y",1,IF('NZS O&amp;G Summary'!$I$69="N",0,IF('NZS O&amp;G Summary'!$I$69="Under development","Under development",IF('NZS O&amp;G Summary'!$I$69="Not applicable", "Not Applicable"))))</f>
        <v>0</v>
      </c>
      <c r="I103" s="120">
        <f>IF('NZS O&amp;G Summary'!$J$69="Y",1,IF('NZS O&amp;G Summary'!$J$69="n",0,IF('NZS O&amp;G Summary'!$J$69="Under development","Under development",IF('NZS O&amp;G Summary'!$J$69="Not applicable", "Not Applicable"))))</f>
        <v>0</v>
      </c>
      <c r="J103" s="120">
        <f>IF('NZS O&amp;G Summary'!$K$69="Y",1,IF('NZS O&amp;G Summary'!$K$69="N",0,IF('NZS O&amp;G Summary'!$K$69="Under development","Under development",IF('NZS O&amp;G Summary'!$K$69="Not applicable", "Not Applicable"))))</f>
        <v>0</v>
      </c>
      <c r="K103" s="120">
        <f>IF('NZS O&amp;G Summary'!$L$69="Y",1,IF('NZS O&amp;G Summary'!$L$69="n",0,IF('NZS O&amp;G Summary'!$L$69="Under development","Under development",IF('NZS O&amp;G Summary'!$L$69="Not applicable", "Not Applicable"))))</f>
        <v>0</v>
      </c>
      <c r="L103" s="120">
        <f>IF('NZS O&amp;G Summary'!$M$69="Y",1,IF('NZS O&amp;G Summary'!$M$69="N",0,IF('NZS O&amp;G Summary'!$M$69="Under development","Under development",IF('NZS O&amp;G Summary'!$M$69="Not applicable", "Not Applicable"))))</f>
        <v>0</v>
      </c>
      <c r="M103" s="120">
        <f>IF('NZS O&amp;G Summary'!$N$69="Y",1,IF('NZS O&amp;G Summary'!$N$69="n",0,IF('NZS O&amp;G Summary'!$N$69="Under development","Under development",IF('NZS O&amp;G Summary'!$N$69="Not applicable", "Not Applicable"))))</f>
        <v>0</v>
      </c>
      <c r="N103" s="120">
        <f>IF('NZS O&amp;G Summary'!$O$69="Y",1,IF('NZS O&amp;G Summary'!$O$69="N",0,IF('NZS O&amp;G Summary'!$O$69="Under development","Under development",IF('NZS O&amp;G Summary'!$O$69="Not applicable", "Not Applicable"))))</f>
        <v>0</v>
      </c>
      <c r="O103" s="122"/>
      <c r="R103" s="50"/>
    </row>
    <row r="104" spans="2:18" s="40" customFormat="1" ht="15" customHeight="1" outlineLevel="2">
      <c r="B104" s="145" t="str">
        <f t="shared" si="19"/>
        <v>5.v.o</v>
      </c>
      <c r="C104" s="126" t="s">
        <v>468</v>
      </c>
      <c r="D104" s="127" t="s">
        <v>44</v>
      </c>
      <c r="E104" s="120">
        <f>IF('NZS O&amp;G Summary'!$F$70="Y",1,IF('NZS O&amp;G Summary'!$F$70="n",0,IF('NZS O&amp;G Summary'!$F$70="Under development","Under development",IF('NZS O&amp;G Summary'!$F$70="Not applicable", "Not Applicable"))))</f>
        <v>0</v>
      </c>
      <c r="F104" s="120">
        <f>IF('NZS O&amp;G Summary'!$G$70="y",1,IF('NZS O&amp;G Summary'!$G$70="n",0,IF('NZS O&amp;G Summary'!$G$70="Under development","Under development",IF('NZS O&amp;G Summary'!$G$70="Not applicable", "Not Applicable"))))</f>
        <v>0</v>
      </c>
      <c r="G104" s="120">
        <f>IF('NZS O&amp;G Summary'!$H$70="y",1,IF('NZS O&amp;G Summary'!$H$70="n",0,IF('NZS O&amp;G Summary'!$H$70="Under development","Under development",IF('NZS O&amp;G Summary'!$H$70="Not applicable", "Not Applicable"))))</f>
        <v>0</v>
      </c>
      <c r="H104" s="120">
        <f>IF('NZS O&amp;G Summary'!$I$70="y",1,IF('NZS O&amp;G Summary'!$I$70="N",0,IF('NZS O&amp;G Summary'!$I$70="Under development","Under development",IF('NZS O&amp;G Summary'!$I$70="Not applicable", "Not Applicable"))))</f>
        <v>0</v>
      </c>
      <c r="I104" s="120">
        <f>IF('NZS O&amp;G Summary'!$J$70="Y",1,IF('NZS O&amp;G Summary'!$J$70="n",0,IF('NZS O&amp;G Summary'!$J$70="Under development","Under development",IF('NZS O&amp;G Summary'!$J$70="Not applicable", "Not Applicable"))))</f>
        <v>0</v>
      </c>
      <c r="J104" s="120">
        <f>IF('NZS O&amp;G Summary'!$K$70="Y",1,IF('NZS O&amp;G Summary'!$K$70="N",0,IF('NZS O&amp;G Summary'!$K$70="Under development","Under development",IF('NZS O&amp;G Summary'!$K$70="Not applicable", "Not Applicable"))))</f>
        <v>0</v>
      </c>
      <c r="K104" s="120">
        <f>IF('NZS O&amp;G Summary'!$L$70="Y",1,IF('NZS O&amp;G Summary'!$L$70="n",0,IF('NZS O&amp;G Summary'!$L$70="Under development","Under development",IF('NZS O&amp;G Summary'!$L$70="Not applicable", "Not Applicable"))))</f>
        <v>0</v>
      </c>
      <c r="L104" s="120">
        <f>IF('NZS O&amp;G Summary'!$M$70="Y",1,IF('NZS O&amp;G Summary'!$M$70="N",0,IF('NZS O&amp;G Summary'!$M$70="Under development","Under development",IF('NZS O&amp;G Summary'!$M$70="Not applicable", "Not Applicable"))))</f>
        <v>0</v>
      </c>
      <c r="M104" s="120">
        <f>IF('NZS O&amp;G Summary'!$N$70="Y",1,IF('NZS O&amp;G Summary'!$N$70="n",0,IF('NZS O&amp;G Summary'!$N$70="Under development","Under development",IF('NZS O&amp;G Summary'!$N$70="Not applicable", "Not Applicable"))))</f>
        <v>0</v>
      </c>
      <c r="N104" s="120">
        <f>IF('NZS O&amp;G Summary'!$O$70="Y",1,IF('NZS O&amp;G Summary'!$O$70="N",0,IF('NZS O&amp;G Summary'!$O$70="Under development","Under development",IF('NZS O&amp;G Summary'!$O$70="Not applicable", "Not Applicable"))))</f>
        <v>1</v>
      </c>
      <c r="O104" s="122"/>
      <c r="R104" s="50"/>
    </row>
    <row r="105" spans="2:18" s="40" customFormat="1" ht="15" customHeight="1" outlineLevel="2">
      <c r="B105" s="145" t="str">
        <f t="shared" si="19"/>
        <v>5.v.p</v>
      </c>
      <c r="C105" s="126" t="s">
        <v>469</v>
      </c>
      <c r="D105" s="127" t="s">
        <v>45</v>
      </c>
      <c r="E105" s="120" t="str">
        <f>IF('NZS O&amp;G Summary'!$F$71="Y",1,IF('NZS O&amp;G Summary'!$F$71="n",0,IF('NZS O&amp;G Summary'!$F$71="Under development","Under development",IF('NZS O&amp;G Summary'!$F$71="Not applicable", "Not Applicable"))))</f>
        <v>Under development</v>
      </c>
      <c r="F105" s="120" t="str">
        <f>IF('NZS O&amp;G Summary'!$G$71="y",1,IF('NZS O&amp;G Summary'!$G$71="n",0,IF('NZS O&amp;G Summary'!$G$71="Under development","Under development",IF('NZS O&amp;G Summary'!$G$71="Not applicable", "Not Applicable"))))</f>
        <v>Under development</v>
      </c>
      <c r="G105" s="120" t="str">
        <f>IF('NZS O&amp;G Summary'!$H$71="y",1,IF('NZS O&amp;G Summary'!$H$71="n",0,IF('NZS O&amp;G Summary'!$H$71="Under development","Under development",IF('NZS O&amp;G Summary'!$H$71="Not applicable", "Not Applicable"))))</f>
        <v>Under development</v>
      </c>
      <c r="H105" s="120" t="str">
        <f>IF('NZS O&amp;G Summary'!$I$71="y",1,IF('NZS O&amp;G Summary'!$I$71="N",0,IF('NZS O&amp;G Summary'!$I$71="Under development","Under development",IF('NZS O&amp;G Summary'!$I$71="Not applicable", "Not Applicable"))))</f>
        <v>Under development</v>
      </c>
      <c r="I105" s="120" t="str">
        <f>IF('NZS O&amp;G Summary'!$J$71="Y",1,IF('NZS O&amp;G Summary'!$J$71="n",0,IF('NZS O&amp;G Summary'!$J$71="Under development","Under development",IF('NZS O&amp;G Summary'!$J$71="Not applicable", "Not Applicable"))))</f>
        <v>Under development</v>
      </c>
      <c r="J105" s="120" t="str">
        <f>IF('NZS O&amp;G Summary'!$K$71="Y",1,IF('NZS O&amp;G Summary'!$K$71="N",0,IF('NZS O&amp;G Summary'!$K$71="Under development","Under development",IF('NZS O&amp;G Summary'!$K$71="Not applicable", "Not Applicable"))))</f>
        <v>Under development</v>
      </c>
      <c r="K105" s="120" t="str">
        <f>IF('NZS O&amp;G Summary'!$L$71="Y",1,IF('NZS O&amp;G Summary'!$L$71="n",0,IF('NZS O&amp;G Summary'!$L$71="Under development","Under development",IF('NZS O&amp;G Summary'!$L$71="Not applicable", "Not Applicable"))))</f>
        <v>Under development</v>
      </c>
      <c r="L105" s="120" t="str">
        <f>IF('NZS O&amp;G Summary'!$M$71="Y",1,IF('NZS O&amp;G Summary'!$M$71="N",0,IF('NZS O&amp;G Summary'!$M$71="Under development","Under development",IF('NZS O&amp;G Summary'!$M$71="Not applicable", "Not Applicable"))))</f>
        <v>Under development</v>
      </c>
      <c r="M105" s="120" t="str">
        <f>IF('NZS O&amp;G Summary'!$N$71="Y",1,IF('NZS O&amp;G Summary'!$N$71="n",0,IF('NZS O&amp;G Summary'!$N$71="Under development","Under development",IF('NZS O&amp;G Summary'!$N$71="Not applicable", "Not Applicable"))))</f>
        <v>Under development</v>
      </c>
      <c r="N105" s="120" t="str">
        <f>IF('NZS O&amp;G Summary'!$O$71="Y",1,IF('NZS O&amp;G Summary'!$O$71="N",0,IF('NZS O&amp;G Summary'!$O$71="Under development","Under development",IF('NZS O&amp;G Summary'!$O$71="Not applicable", "Not Applicable"))))</f>
        <v>Under development</v>
      </c>
      <c r="O105" s="122"/>
      <c r="R105" s="50"/>
    </row>
    <row r="106" spans="2:18" s="40" customFormat="1" ht="15" customHeight="1" outlineLevel="2">
      <c r="B106" s="145" t="str">
        <f t="shared" si="19"/>
        <v>5.v.q</v>
      </c>
      <c r="C106" s="126" t="s">
        <v>470</v>
      </c>
      <c r="D106" s="127" t="s">
        <v>44</v>
      </c>
      <c r="E106" s="120">
        <f>IF('NZS O&amp;G Summary'!$F$72="Y",1,IF('NZS O&amp;G Summary'!$F$72="n",0,IF('NZS O&amp;G Summary'!$F$72="Under development","Under development",IF('NZS O&amp;G Summary'!$F$72="Not applicable", "Not Applicable"))))</f>
        <v>0</v>
      </c>
      <c r="F106" s="120">
        <f>IF('NZS O&amp;G Summary'!$G$72="y",1,IF('NZS O&amp;G Summary'!$G$72="n",0,IF('NZS O&amp;G Summary'!$G$72="Under development","Under development",IF('NZS O&amp;G Summary'!$G$72="Not applicable", "Not Applicable"))))</f>
        <v>0</v>
      </c>
      <c r="G106" s="120">
        <f>IF('NZS O&amp;G Summary'!$H$72="y",1,IF('NZS O&amp;G Summary'!$H$72="n",0,IF('NZS O&amp;G Summary'!$H$72="Under development","Under development",IF('NZS O&amp;G Summary'!$H$72="Not applicable", "Not Applicable"))))</f>
        <v>0</v>
      </c>
      <c r="H106" s="120">
        <f>IF('NZS O&amp;G Summary'!$I$72="y",1,IF('NZS O&amp;G Summary'!$I$72="N",0,IF('NZS O&amp;G Summary'!$I$72="Under development","Under development",IF('NZS O&amp;G Summary'!$I$72="Not applicable", "Not Applicable"))))</f>
        <v>0</v>
      </c>
      <c r="I106" s="120">
        <f>IF('NZS O&amp;G Summary'!$J$72="Y",1,IF('NZS O&amp;G Summary'!$J$72="n",0,IF('NZS O&amp;G Summary'!$J$72="Under development","Under development",IF('NZS O&amp;G Summary'!$J$72="Not applicable", "Not Applicable"))))</f>
        <v>0</v>
      </c>
      <c r="J106" s="120">
        <f>IF('NZS O&amp;G Summary'!$K$72="Y",1,IF('NZS O&amp;G Summary'!$K$72="N",0,IF('NZS O&amp;G Summary'!$K$72="Under development","Under development",IF('NZS O&amp;G Summary'!$K$72="Not applicable", "Not Applicable"))))</f>
        <v>0</v>
      </c>
      <c r="K106" s="120">
        <f>IF('NZS O&amp;G Summary'!$L$72="Y",1,IF('NZS O&amp;G Summary'!$L$72="n",0,IF('NZS O&amp;G Summary'!$L$72="Under development","Under development",IF('NZS O&amp;G Summary'!$L$72="Not applicable", "Not Applicable"))))</f>
        <v>0</v>
      </c>
      <c r="L106" s="120">
        <f>IF('NZS O&amp;G Summary'!$M$72="Y",1,IF('NZS O&amp;G Summary'!$M$72="N",0,IF('NZS O&amp;G Summary'!$M$72="Under development","Under development",IF('NZS O&amp;G Summary'!$M$72="Not applicable", "Not Applicable"))))</f>
        <v>0</v>
      </c>
      <c r="M106" s="120">
        <f>IF('NZS O&amp;G Summary'!$N$72="Y",1,IF('NZS O&amp;G Summary'!$N$72="n",0,IF('NZS O&amp;G Summary'!$N$72="Under development","Under development",IF('NZS O&amp;G Summary'!$N$72="Not applicable", "Not Applicable"))))</f>
        <v>0</v>
      </c>
      <c r="N106" s="120">
        <f>IF('NZS O&amp;G Summary'!$O$72="Y",1,IF('NZS O&amp;G Summary'!$O$72="N",0,IF('NZS O&amp;G Summary'!$O$72="Under development","Under development",IF('NZS O&amp;G Summary'!$O$72="Not applicable", "Not Applicable"))))</f>
        <v>0</v>
      </c>
      <c r="O106" s="122"/>
      <c r="R106" s="50"/>
    </row>
    <row r="107" spans="2:18" s="40" customFormat="1" ht="15" customHeight="1" outlineLevel="2">
      <c r="B107" s="145" t="str">
        <f t="shared" si="19"/>
        <v>5.v.r</v>
      </c>
      <c r="C107" s="126" t="s">
        <v>471</v>
      </c>
      <c r="D107" s="127" t="s">
        <v>45</v>
      </c>
      <c r="E107" s="120" t="str">
        <f>IF('NZS O&amp;G Summary'!$F$73="Y",1,IF('NZS O&amp;G Summary'!$F$73="n",0,IF('NZS O&amp;G Summary'!$F$73="Under development","Under development",IF('NZS O&amp;G Summary'!$F$73="Not applicable", "Not Applicable"))))</f>
        <v>Under development</v>
      </c>
      <c r="F107" s="120" t="str">
        <f>IF('NZS O&amp;G Summary'!$G$73="y",1,IF('NZS O&amp;G Summary'!$G$73="n",0,IF('NZS O&amp;G Summary'!$G$73="Under development","Under development",IF('NZS O&amp;G Summary'!$G$73="Not applicable", "Not Applicable"))))</f>
        <v>Under development</v>
      </c>
      <c r="G107" s="120" t="str">
        <f>IF('NZS O&amp;G Summary'!$H$73="y",1,IF('NZS O&amp;G Summary'!$H$73="n",0,IF('NZS O&amp;G Summary'!$H$73="Under development","Under development",IF('NZS O&amp;G Summary'!$H$73="Not applicable", "Not Applicable"))))</f>
        <v>Under development</v>
      </c>
      <c r="H107" s="120" t="str">
        <f>IF('NZS O&amp;G Summary'!$I$73="y",1,IF('NZS O&amp;G Summary'!$I$73="N",0,IF('NZS O&amp;G Summary'!$I$73="Under development","Under development",IF('NZS O&amp;G Summary'!$I$73="Not applicable", "Not Applicable"))))</f>
        <v>Under development</v>
      </c>
      <c r="I107" s="120" t="str">
        <f>IF('NZS O&amp;G Summary'!$J$73="Y",1,IF('NZS O&amp;G Summary'!$J$73="n",0,IF('NZS O&amp;G Summary'!$J$73="Under development","Under development",IF('NZS O&amp;G Summary'!$J$73="Not applicable", "Not Applicable"))))</f>
        <v>Under development</v>
      </c>
      <c r="J107" s="120" t="str">
        <f>IF('NZS O&amp;G Summary'!$K$73="Y",1,IF('NZS O&amp;G Summary'!$K$73="N",0,IF('NZS O&amp;G Summary'!$K$73="Under development","Under development",IF('NZS O&amp;G Summary'!$K$73="Not applicable", "Not Applicable"))))</f>
        <v>Under development</v>
      </c>
      <c r="K107" s="120" t="str">
        <f>IF('NZS O&amp;G Summary'!$L$73="Y",1,IF('NZS O&amp;G Summary'!$L$73="n",0,IF('NZS O&amp;G Summary'!$L$73="Under development","Under development",IF('NZS O&amp;G Summary'!$L$73="Not applicable", "Not Applicable"))))</f>
        <v>Under development</v>
      </c>
      <c r="L107" s="120" t="str">
        <f>IF('NZS O&amp;G Summary'!$M$73="Y",1,IF('NZS O&amp;G Summary'!$M$73="N",0,IF('NZS O&amp;G Summary'!$M$73="Under development","Under development",IF('NZS O&amp;G Summary'!$M$73="Not applicable", "Not Applicable"))))</f>
        <v>Under development</v>
      </c>
      <c r="M107" s="120" t="str">
        <f>IF('NZS O&amp;G Summary'!$N$73="Y",1,IF('NZS O&amp;G Summary'!$N$73="n",0,IF('NZS O&amp;G Summary'!$N$73="Under development","Under development",IF('NZS O&amp;G Summary'!$N$73="Not applicable", "Not Applicable"))))</f>
        <v>Under development</v>
      </c>
      <c r="N107" s="120" t="str">
        <f>IF('NZS O&amp;G Summary'!$O$73="Y",1,IF('NZS O&amp;G Summary'!$O$73="N",0,IF('NZS O&amp;G Summary'!$O$73="Under development","Under development",IF('NZS O&amp;G Summary'!$O$73="Not applicable", "Not Applicable"))))</f>
        <v>Under development</v>
      </c>
      <c r="O107" s="122"/>
      <c r="R107" s="50"/>
    </row>
    <row r="108" spans="2:18" s="40" customFormat="1" ht="15" customHeight="1" outlineLevel="1">
      <c r="B108" s="145"/>
      <c r="C108" s="136"/>
      <c r="D108" s="94"/>
      <c r="E108" s="120"/>
      <c r="F108" s="120"/>
      <c r="G108" s="120"/>
      <c r="H108" s="120"/>
      <c r="I108" s="120"/>
      <c r="J108" s="120"/>
      <c r="K108" s="120"/>
      <c r="L108" s="120"/>
      <c r="M108" s="120"/>
      <c r="N108" s="120"/>
      <c r="O108" s="122"/>
      <c r="R108" s="50"/>
    </row>
    <row r="109" spans="2:18" s="40" customFormat="1" ht="15" customHeight="1">
      <c r="B109" s="148"/>
      <c r="C109" s="125" t="s">
        <v>81</v>
      </c>
      <c r="D109" s="125" t="s">
        <v>81</v>
      </c>
      <c r="E109" s="117" t="s">
        <v>81</v>
      </c>
      <c r="F109" s="117" t="s">
        <v>81</v>
      </c>
      <c r="G109" s="117" t="s">
        <v>81</v>
      </c>
      <c r="H109" s="117" t="s">
        <v>81</v>
      </c>
      <c r="I109" s="117" t="s">
        <v>81</v>
      </c>
      <c r="J109" s="117" t="s">
        <v>81</v>
      </c>
      <c r="K109" s="117"/>
      <c r="L109" s="117"/>
      <c r="M109" s="117"/>
      <c r="N109" s="117"/>
      <c r="O109" s="71" t="s">
        <v>81</v>
      </c>
      <c r="R109" s="50"/>
    </row>
    <row r="110" spans="2:18" s="40" customFormat="1" ht="15" customHeight="1">
      <c r="B110" s="149" t="s">
        <v>472</v>
      </c>
      <c r="C110" s="72" t="s">
        <v>473</v>
      </c>
      <c r="D110" s="69"/>
      <c r="E110" s="68">
        <f t="shared" ref="E110:N110" si="22">AVERAGE(E112, E124, E136)</f>
        <v>0.4148148148148148</v>
      </c>
      <c r="F110" s="68">
        <f t="shared" si="22"/>
        <v>0.13703703703703704</v>
      </c>
      <c r="G110" s="68">
        <f t="shared" si="22"/>
        <v>3.7037037037037035E-2</v>
      </c>
      <c r="H110" s="68">
        <f t="shared" si="22"/>
        <v>0.45555555555555555</v>
      </c>
      <c r="I110" s="68">
        <f t="shared" si="22"/>
        <v>0.1074074074074074</v>
      </c>
      <c r="J110" s="68">
        <f t="shared" si="22"/>
        <v>0</v>
      </c>
      <c r="K110" s="68">
        <f t="shared" si="22"/>
        <v>0.31111111111111112</v>
      </c>
      <c r="L110" s="68">
        <f t="shared" si="22"/>
        <v>0.18148148148148147</v>
      </c>
      <c r="M110" s="68">
        <f t="shared" si="22"/>
        <v>0</v>
      </c>
      <c r="N110" s="68">
        <f t="shared" si="22"/>
        <v>0.54814814814814816</v>
      </c>
      <c r="O110" s="70" t="s">
        <v>81</v>
      </c>
      <c r="R110" s="50"/>
    </row>
    <row r="111" spans="2:18" s="40" customFormat="1" ht="15" customHeight="1">
      <c r="B111" s="148"/>
      <c r="C111" s="96"/>
      <c r="D111" s="123"/>
      <c r="E111" s="94"/>
      <c r="F111" s="94"/>
      <c r="G111" s="94"/>
      <c r="H111" s="94"/>
      <c r="I111" s="94"/>
      <c r="J111" s="94"/>
      <c r="K111" s="94"/>
      <c r="L111" s="94"/>
      <c r="M111" s="94"/>
      <c r="N111" s="94"/>
      <c r="O111" s="122"/>
      <c r="R111" s="50"/>
    </row>
    <row r="112" spans="2:18" s="40" customFormat="1" ht="15" customHeight="1" outlineLevel="1">
      <c r="B112" s="145">
        <v>6.1</v>
      </c>
      <c r="C112" s="91" t="s">
        <v>474</v>
      </c>
      <c r="D112" s="119" t="str">
        <f>IF(ISBLANK(VLOOKUP(B112, [1]BP!$A$8:$E$191, 5, FALSE)), "", VLOOKUP(B112, [1]BP!$A$8:$E$191, 5, FALSE))</f>
        <v>Disclosure</v>
      </c>
      <c r="E112" s="120">
        <f t="shared" ref="E112:N112" si="23">SUM(E113,E114,E115,E116,E117,E118,E119,E120,E121,E122,E123)/COUNT(E113,E114,E115,E116,E117,E118,E119,E120,E121,E122,E123)</f>
        <v>0.44444444444444442</v>
      </c>
      <c r="F112" s="120">
        <f t="shared" si="23"/>
        <v>0.1111111111111111</v>
      </c>
      <c r="G112" s="120">
        <f t="shared" si="23"/>
        <v>0.1111111111111111</v>
      </c>
      <c r="H112" s="120">
        <f t="shared" si="23"/>
        <v>0.66666666666666663</v>
      </c>
      <c r="I112" s="120">
        <f t="shared" si="23"/>
        <v>0.22222222222222221</v>
      </c>
      <c r="J112" s="120">
        <f t="shared" si="23"/>
        <v>0</v>
      </c>
      <c r="K112" s="120">
        <f t="shared" si="23"/>
        <v>0.33333333333333331</v>
      </c>
      <c r="L112" s="120">
        <f t="shared" si="23"/>
        <v>0.44444444444444442</v>
      </c>
      <c r="M112" s="120">
        <f t="shared" si="23"/>
        <v>0</v>
      </c>
      <c r="N112" s="120">
        <f t="shared" si="23"/>
        <v>0.44444444444444442</v>
      </c>
      <c r="O112" s="122"/>
      <c r="R112" s="50"/>
    </row>
    <row r="113" spans="2:18" s="40" customFormat="1" ht="15" customHeight="1" outlineLevel="2">
      <c r="B113" s="145" t="str">
        <f t="shared" ref="B113:B126" si="24">LEFT(C113,FIND(":",C113)-1)</f>
        <v>6.1.a</v>
      </c>
      <c r="C113" s="93" t="s">
        <v>165</v>
      </c>
      <c r="D113" s="119" t="str">
        <f>IF(ISBLANK(VLOOKUP(B113, [1]BP!$A$8:$E$191, 5, FALSE)), "", VLOOKUP(B113, [1]BP!$A$8:$E$191, 5, FALSE))</f>
        <v>Disclosure</v>
      </c>
      <c r="E113" s="120">
        <f>IF('CA100 2023 Scores'!$E$40="y",1,IF('CA100 2023 Scores'!$E$40="N",0,IF('CA100 2023 Scores'!$E$40="Partial",0.5,IF('CA100 2023 Scores'!$E$40="Not assessed","Under development"))))</f>
        <v>1</v>
      </c>
      <c r="F113" s="120">
        <f>IF('CA100 2023 Scores'!$F$40="y",1,IF('CA100 2023 Scores'!$F$40="N",0,IF('CA100 2023 Scores'!$F$40="Partial",0.5,IF('CA100 2023 Scores'!$F$40="Not assessed","Under development"))))</f>
        <v>0</v>
      </c>
      <c r="G113" s="120">
        <f>IF('CA100 2023 Scores'!$G$40="y",1,IF('CA100 2023 Scores'!$G$40="N",0,IF('CA100 2023 Scores'!$G$40="Partial",0.5,IF('CA100 2023 Scores'!$G$40="Not assessed","Under development"))))</f>
        <v>0</v>
      </c>
      <c r="H113" s="120">
        <f>IF('CA100 2023 Scores'!$H$40="y",1,IF('CA100 2023 Scores'!$H$40="N",0,IF('CA100 2023 Scores'!$H$40="Partial",0.5,IF('CA100 2023 Scores'!$H$40="Not assessed","Under development"))))</f>
        <v>1</v>
      </c>
      <c r="I113" s="120">
        <f>IF('CA100 2023 Scores'!$I$40="y",1,IF('CA100 2023 Scores'!$I$40="N",0,IF('CA100 2023 Scores'!$I$40="Partial",0.5,IF('CA100 2023 Scores'!$I$40="Not assessed","Under development"))))</f>
        <v>0</v>
      </c>
      <c r="J113" s="120">
        <f>IF('CA100 2023 Scores'!$J$40="y",1,IF('CA100 2023 Scores'!$J$40="N",0,IF('CA100 2023 Scores'!$J$40="Partial",0.5,IF('CA100 2023 Scores'!$J$40="Not assessed","Under development"))))</f>
        <v>0</v>
      </c>
      <c r="K113" s="120">
        <f>IF('CA100 2023 Scores'!$K$40="y",1,IF('CA100 2023 Scores'!$K$40="N",0,IF('CA100 2023 Scores'!$K$40="Partial",0.5,IF('CA100 2023 Scores'!$K$40="Not assessed","Under development"))))</f>
        <v>0</v>
      </c>
      <c r="L113" s="120">
        <f>IF('CA100 2023 Scores'!$L$40="y",1,IF('CA100 2023 Scores'!$L$40="N",0,IF('CA100 2023 Scores'!$L$40="Partial",0.5,IF('CA100 2023 Scores'!$L$40="Not assessed","Under development"))))</f>
        <v>0</v>
      </c>
      <c r="M113" s="120">
        <f>IF('CA100 2023 Scores'!$M$40="y",1,IF('CA100 2023 Scores'!$M$40="N",0,IF('CA100 2023 Scores'!$M$40="Partial",0.5,IF('CA100 2023 Scores'!$M$40="Not assessed","Under development"))))</f>
        <v>0</v>
      </c>
      <c r="N113" s="120">
        <f>IF('CA100 2023 Scores'!$N$40="y",1,IF('CA100 2023 Scores'!$N$40="N",0,IF('CA100 2023 Scores'!$N$40="Partial",0.5,IF('CA100 2023 Scores'!$N$40="Not assessed","Under development"))))</f>
        <v>0</v>
      </c>
      <c r="O113" s="122"/>
      <c r="R113" s="50"/>
    </row>
    <row r="114" spans="2:18" s="40" customFormat="1" ht="15" customHeight="1" outlineLevel="2">
      <c r="B114" s="145" t="str">
        <f t="shared" si="24"/>
        <v>6.1.b</v>
      </c>
      <c r="C114" s="93" t="s">
        <v>166</v>
      </c>
      <c r="D114" s="119" t="str">
        <f>IF(ISBLANK(VLOOKUP(B114, [1]BP!$A$8:$E$191, 5, FALSE)), "", VLOOKUP(B114, [1]BP!$A$8:$E$191, 5, FALSE))</f>
        <v>Disclosure</v>
      </c>
      <c r="E114" s="120">
        <f>IF('CA100 2023 Scores'!$E$41="y",1,IF('CA100 2023 Scores'!$E$41="N",0,IF('CA100 2023 Scores'!$E$41="Partial",0.5,IF('CA100 2023 Scores'!$E$41="Not assessed","Under development"))))</f>
        <v>1</v>
      </c>
      <c r="F114" s="120">
        <f>IF('CA100 2023 Scores'!$F$41="y",1,IF('CA100 2023 Scores'!$F$41="N",0,IF('CA100 2023 Scores'!$F$41="Partial",0.5,IF('CA100 2023 Scores'!$F$41="Not assessed","Under development"))))</f>
        <v>0</v>
      </c>
      <c r="G114" s="120">
        <f>IF('CA100 2023 Scores'!$G$41="y",1,IF('CA100 2023 Scores'!$G$41="N",0,IF('CA100 2023 Scores'!$G$41="Partial",0.5,IF('CA100 2023 Scores'!$G$41="Not assessed","Under development"))))</f>
        <v>0</v>
      </c>
      <c r="H114" s="120">
        <f>IF('CA100 2023 Scores'!$H$41="y",1,IF('CA100 2023 Scores'!$H$41="N",0,IF('CA100 2023 Scores'!$H$41="Partial",0.5,IF('CA100 2023 Scores'!$H$41="Not assessed","Under development"))))</f>
        <v>1</v>
      </c>
      <c r="I114" s="120">
        <f>IF('CA100 2023 Scores'!$I$41="y",1,IF('CA100 2023 Scores'!$I$41="N",0,IF('CA100 2023 Scores'!$I$41="Partial",0.5,IF('CA100 2023 Scores'!$I$41="Not assessed","Under development"))))</f>
        <v>0</v>
      </c>
      <c r="J114" s="120">
        <f>IF('CA100 2023 Scores'!$J$41="y",1,IF('CA100 2023 Scores'!$J$41="N",0,IF('CA100 2023 Scores'!$J$41="Partial",0.5,IF('CA100 2023 Scores'!$J$41="Not assessed","Under development"))))</f>
        <v>0</v>
      </c>
      <c r="K114" s="120">
        <f>IF('CA100 2023 Scores'!$K$41="y",1,IF('CA100 2023 Scores'!$K$41="N",0,IF('CA100 2023 Scores'!$K$41="Partial",0.5,IF('CA100 2023 Scores'!$K$41="Not assessed","Under development"))))</f>
        <v>0</v>
      </c>
      <c r="L114" s="120">
        <f>IF('CA100 2023 Scores'!$L$41="y",1,IF('CA100 2023 Scores'!$L$41="N",0,IF('CA100 2023 Scores'!$L$41="Partial",0.5,IF('CA100 2023 Scores'!$L$41="Not assessed","Under development"))))</f>
        <v>1</v>
      </c>
      <c r="M114" s="120">
        <f>IF('CA100 2023 Scores'!$M$41="y",1,IF('CA100 2023 Scores'!$M$41="N",0,IF('CA100 2023 Scores'!$M$41="Partial",0.5,IF('CA100 2023 Scores'!$M$41="Not assessed","Under development"))))</f>
        <v>0</v>
      </c>
      <c r="N114" s="120">
        <f>IF('CA100 2023 Scores'!$N$41="y",1,IF('CA100 2023 Scores'!$N$41="N",0,IF('CA100 2023 Scores'!$N$41="Partial",0.5,IF('CA100 2023 Scores'!$N$41="Not assessed","Under development"))))</f>
        <v>1</v>
      </c>
      <c r="O114" s="122"/>
      <c r="R114" s="50"/>
    </row>
    <row r="115" spans="2:18" s="40" customFormat="1" ht="15" customHeight="1" outlineLevel="2">
      <c r="B115" s="145" t="str">
        <f t="shared" ref="B115:B123" si="25">LEFT(C115,FIND(" ",C115)-1)</f>
        <v>6.i.a</v>
      </c>
      <c r="C115" s="126" t="s">
        <v>475</v>
      </c>
      <c r="D115" s="127" t="s">
        <v>44</v>
      </c>
      <c r="E115" s="120">
        <f>IF('NZS O&amp;G Summary'!$F$76="Y",1,IF('NZS O&amp;G Summary'!$F$76="n",0,IF('NZS O&amp;G Summary'!$F$76="Under development","Under development",IF('NZS O&amp;G Summary'!$F$76="Not applicable", "Not Applicable"))))</f>
        <v>1</v>
      </c>
      <c r="F115" s="120">
        <f>IF('NZS O&amp;G Summary'!$G$76="y",1,IF('NZS O&amp;G Summary'!$G$76="n",0,IF('NZS O&amp;G Summary'!$G$76="Under development","Under development",IF('NZS O&amp;G Summary'!$G$76="Not applicable", "Not Applicable"))))</f>
        <v>1</v>
      </c>
      <c r="G115" s="120">
        <f>IF('NZS O&amp;G Summary'!$H$76="y",1,IF('NZS O&amp;G Summary'!$H$76="n",0,IF('NZS O&amp;G Summary'!$H$76="Under development","Under development",IF('NZS O&amp;G Summary'!$H$76="Not applicable", "Not Applicable"))))</f>
        <v>1</v>
      </c>
      <c r="H115" s="120">
        <f>IF('NZS O&amp;G Summary'!$I$76="y",1,IF('NZS O&amp;G Summary'!$I$76="N",0,IF('NZS O&amp;G Summary'!$I$76="Under development","Under development",IF('NZS O&amp;G Summary'!$I$76="Not applicable", "Not Applicable"))))</f>
        <v>1</v>
      </c>
      <c r="I115" s="120">
        <f>IF('NZS O&amp;G Summary'!$J$76="Y",1,IF('NZS O&amp;G Summary'!$J$76="n",0,IF('NZS O&amp;G Summary'!$J$76="Under development","Under development",IF('NZS O&amp;G Summary'!$J$76="Not applicable", "Not Applicable"))))</f>
        <v>1</v>
      </c>
      <c r="J115" s="120">
        <f>IF('NZS O&amp;G Summary'!$K$76="Y",1,IF('NZS O&amp;G Summary'!$K$76="N",0,IF('NZS O&amp;G Summary'!$K$76="Under development","Under development",IF('NZS O&amp;G Summary'!$K$76="Not applicable", "Not Applicable"))))</f>
        <v>0</v>
      </c>
      <c r="K115" s="120">
        <f>IF('NZS O&amp;G Summary'!$L$76="Y",1,IF('NZS O&amp;G Summary'!$L$76="n",0,IF('NZS O&amp;G Summary'!$L$76="Under development","Under development",IF('NZS O&amp;G Summary'!$L$76="Not applicable", "Not Applicable"))))</f>
        <v>1</v>
      </c>
      <c r="L115" s="120">
        <f>IF('NZS O&amp;G Summary'!$M$76="Y",1,IF('NZS O&amp;G Summary'!$M$76="N",0,IF('NZS O&amp;G Summary'!$M$76="Under development","Under development",IF('NZS O&amp;G Summary'!$M$76="Not applicable", "Not Applicable"))))</f>
        <v>1</v>
      </c>
      <c r="M115" s="120">
        <f>IF('NZS O&amp;G Summary'!$N$76="Y",1,IF('NZS O&amp;G Summary'!$N$76="n",0,IF('NZS O&amp;G Summary'!$N$76="Under development","Under development",IF('NZS O&amp;G Summary'!$N$76="Not applicable", "Not Applicable"))))</f>
        <v>0</v>
      </c>
      <c r="N115" s="120">
        <f>IF('NZS O&amp;G Summary'!$O$76="Y",1,IF('NZS O&amp;G Summary'!$O$76="N",0,IF('NZS O&amp;G Summary'!$O$76="Under development","Under development",IF('NZS O&amp;G Summary'!$O$76="Not applicable", "Not Applicable"))))</f>
        <v>1</v>
      </c>
      <c r="O115" s="122"/>
      <c r="R115" s="50"/>
    </row>
    <row r="116" spans="2:18" s="40" customFormat="1" ht="15" customHeight="1" outlineLevel="2">
      <c r="B116" s="145" t="str">
        <f t="shared" si="25"/>
        <v>6.i.b</v>
      </c>
      <c r="C116" s="126" t="s">
        <v>476</v>
      </c>
      <c r="D116" s="127" t="s">
        <v>44</v>
      </c>
      <c r="E116" s="120">
        <f>IF('NZS O&amp;G Summary'!$F$77="Y",1,IF('NZS O&amp;G Summary'!$F$77="n",0,IF('NZS O&amp;G Summary'!$F$77="Under development","Under development",IF('NZS O&amp;G Summary'!$F$77="Not applicable", "Not Applicable"))))</f>
        <v>1</v>
      </c>
      <c r="F116" s="120">
        <f>IF('NZS O&amp;G Summary'!$G$77="y",1,IF('NZS O&amp;G Summary'!$G$77="n",0,IF('NZS O&amp;G Summary'!$G$77="Under development","Under development",IF('NZS O&amp;G Summary'!$G$77="Not applicable", "Not Applicable"))))</f>
        <v>0</v>
      </c>
      <c r="G116" s="120">
        <f>IF('NZS O&amp;G Summary'!$H$77="y",1,IF('NZS O&amp;G Summary'!$H$77="n",0,IF('NZS O&amp;G Summary'!$H$77="Under development","Under development",IF('NZS O&amp;G Summary'!$H$77="Not applicable", "Not Applicable"))))</f>
        <v>0</v>
      </c>
      <c r="H116" s="120">
        <f>IF('NZS O&amp;G Summary'!$I$77="y",1,IF('NZS O&amp;G Summary'!$I$77="N",0,IF('NZS O&amp;G Summary'!$I$77="Under development","Under development",IF('NZS O&amp;G Summary'!$I$77="Not applicable", "Not Applicable"))))</f>
        <v>1</v>
      </c>
      <c r="I116" s="120">
        <f>IF('NZS O&amp;G Summary'!$J$77="Y",1,IF('NZS O&amp;G Summary'!$J$77="n",0,IF('NZS O&amp;G Summary'!$J$77="Under development","Under development",IF('NZS O&amp;G Summary'!$J$77="Not applicable", "Not Applicable"))))</f>
        <v>0</v>
      </c>
      <c r="J116" s="120">
        <f>IF('NZS O&amp;G Summary'!$K$77="Y",1,IF('NZS O&amp;G Summary'!$K$77="N",0,IF('NZS O&amp;G Summary'!$K$77="Under development","Under development",IF('NZS O&amp;G Summary'!$K$77="Not applicable", "Not Applicable"))))</f>
        <v>0</v>
      </c>
      <c r="K116" s="120">
        <f>IF('NZS O&amp;G Summary'!$L$77="Y",1,IF('NZS O&amp;G Summary'!$L$77="n",0,IF('NZS O&amp;G Summary'!$L$77="Under development","Under development",IF('NZS O&amp;G Summary'!$L$77="Not applicable", "Not Applicable"))))</f>
        <v>0</v>
      </c>
      <c r="L116" s="120">
        <f>IF('NZS O&amp;G Summary'!$M$77="Y",1,IF('NZS O&amp;G Summary'!$M$77="N",0,IF('NZS O&amp;G Summary'!$M$77="Under development","Under development",IF('NZS O&amp;G Summary'!$M$77="Not applicable", "Not Applicable"))))</f>
        <v>1</v>
      </c>
      <c r="M116" s="120">
        <f>IF('NZS O&amp;G Summary'!$N$77="Y",1,IF('NZS O&amp;G Summary'!$N$77="n",0,IF('NZS O&amp;G Summary'!$N$77="Under development","Under development",IF('NZS O&amp;G Summary'!$N$77="Not applicable", "Not Applicable"))))</f>
        <v>0</v>
      </c>
      <c r="N116" s="120">
        <f>IF('NZS O&amp;G Summary'!$O$77="Y",1,IF('NZS O&amp;G Summary'!$O$77="N",0,IF('NZS O&amp;G Summary'!$O$77="Under development","Under development",IF('NZS O&amp;G Summary'!$O$77="Not applicable", "Not Applicable"))))</f>
        <v>1</v>
      </c>
      <c r="O116" s="122"/>
      <c r="R116" s="50"/>
    </row>
    <row r="117" spans="2:18" s="40" customFormat="1" ht="15" customHeight="1" outlineLevel="2">
      <c r="B117" s="145" t="str">
        <f t="shared" si="25"/>
        <v>6.i.c</v>
      </c>
      <c r="C117" s="126" t="s">
        <v>477</v>
      </c>
      <c r="D117" s="127" t="s">
        <v>44</v>
      </c>
      <c r="E117" s="120">
        <f>IF('NZS O&amp;G Summary'!$F$78="Y",1,IF('NZS O&amp;G Summary'!$F$78="n",0,IF('NZS O&amp;G Summary'!$F$78="Under development","Under development",IF('NZS O&amp;G Summary'!$F$78="Not applicable", "Not Applicable"))))</f>
        <v>0</v>
      </c>
      <c r="F117" s="120">
        <f>IF('NZS O&amp;G Summary'!$G$78="y",1,IF('NZS O&amp;G Summary'!$G$78="n",0,IF('NZS O&amp;G Summary'!$G$78="Under development","Under development",IF('NZS O&amp;G Summary'!$G$78="Not applicable", "Not Applicable"))))</f>
        <v>0</v>
      </c>
      <c r="G117" s="120">
        <f>IF('NZS O&amp;G Summary'!$H$78="y",1,IF('NZS O&amp;G Summary'!$H$78="n",0,IF('NZS O&amp;G Summary'!$H$78="Under development","Under development",IF('NZS O&amp;G Summary'!$H$78="Not applicable", "Not Applicable"))))</f>
        <v>0</v>
      </c>
      <c r="H117" s="120">
        <f>IF('NZS O&amp;G Summary'!$I$78="y",1,IF('NZS O&amp;G Summary'!$I$78="N",0,IF('NZS O&amp;G Summary'!$I$78="Under development","Under development",IF('NZS O&amp;G Summary'!$I$78="Not applicable", "Not Applicable"))))</f>
        <v>1</v>
      </c>
      <c r="I117" s="120">
        <f>IF('NZS O&amp;G Summary'!$J$78="Y",1,IF('NZS O&amp;G Summary'!$J$78="n",0,IF('NZS O&amp;G Summary'!$J$78="Under development","Under development",IF('NZS O&amp;G Summary'!$J$78="Not applicable", "Not Applicable"))))</f>
        <v>1</v>
      </c>
      <c r="J117" s="120">
        <f>IF('NZS O&amp;G Summary'!$K$78="Y",1,IF('NZS O&amp;G Summary'!$K$78="N",0,IF('NZS O&amp;G Summary'!$K$78="Under development","Under development",IF('NZS O&amp;G Summary'!$K$78="Not applicable", "Not Applicable"))))</f>
        <v>0</v>
      </c>
      <c r="K117" s="120">
        <f>IF('NZS O&amp;G Summary'!$L$78="Y",1,IF('NZS O&amp;G Summary'!$L$78="n",0,IF('NZS O&amp;G Summary'!$L$78="Under development","Under development",IF('NZS O&amp;G Summary'!$L$78="Not applicable", "Not Applicable"))))</f>
        <v>1</v>
      </c>
      <c r="L117" s="120">
        <f>IF('NZS O&amp;G Summary'!$M$78="Y",1,IF('NZS O&amp;G Summary'!$M$78="N",0,IF('NZS O&amp;G Summary'!$M$78="Under development","Under development",IF('NZS O&amp;G Summary'!$M$78="Not applicable", "Not Applicable"))))</f>
        <v>1</v>
      </c>
      <c r="M117" s="120">
        <f>IF('NZS O&amp;G Summary'!$N$78="Y",1,IF('NZS O&amp;G Summary'!$N$78="n",0,IF('NZS O&amp;G Summary'!$N$78="Under development","Under development",IF('NZS O&amp;G Summary'!$N$78="Not applicable", "Not Applicable"))))</f>
        <v>0</v>
      </c>
      <c r="N117" s="120">
        <f>IF('NZS O&amp;G Summary'!$O$78="Y",1,IF('NZS O&amp;G Summary'!$O$78="N",0,IF('NZS O&amp;G Summary'!$O$78="Under development","Under development",IF('NZS O&amp;G Summary'!$O$78="Not applicable", "Not Applicable"))))</f>
        <v>0</v>
      </c>
      <c r="O117" s="122"/>
      <c r="R117" s="50"/>
    </row>
    <row r="118" spans="2:18" s="40" customFormat="1" ht="15" customHeight="1" outlineLevel="2">
      <c r="B118" s="145" t="str">
        <f t="shared" si="25"/>
        <v>6.i.d</v>
      </c>
      <c r="C118" s="126" t="s">
        <v>478</v>
      </c>
      <c r="D118" s="127" t="s">
        <v>44</v>
      </c>
      <c r="E118" s="120">
        <f>IF('NZS O&amp;G Summary'!$F$79="Y",1,IF('NZS O&amp;G Summary'!$F$79="n",0,IF('NZS O&amp;G Summary'!$F$79="Under development","Under development",IF('NZS O&amp;G Summary'!$F$79="Not applicable", "Not Applicable"))))</f>
        <v>0</v>
      </c>
      <c r="F118" s="120">
        <f>IF('NZS O&amp;G Summary'!$G$79="y",1,IF('NZS O&amp;G Summary'!$G$79="n",0,IF('NZS O&amp;G Summary'!$G$79="Under development","Under development",IF('NZS O&amp;G Summary'!$G$79="Not applicable", "Not Applicable"))))</f>
        <v>0</v>
      </c>
      <c r="G118" s="120">
        <f>IF('NZS O&amp;G Summary'!$H$79="y",1,IF('NZS O&amp;G Summary'!$H$79="n",0,IF('NZS O&amp;G Summary'!$H$79="Under development","Under development",IF('NZS O&amp;G Summary'!$H$79="Not applicable", "Not Applicable"))))</f>
        <v>0</v>
      </c>
      <c r="H118" s="120">
        <f>IF('NZS O&amp;G Summary'!$I$79="y",1,IF('NZS O&amp;G Summary'!$I$79="N",0,IF('NZS O&amp;G Summary'!$I$79="Under development","Under development",IF('NZS O&amp;G Summary'!$I$79="Not applicable", "Not Applicable"))))</f>
        <v>1</v>
      </c>
      <c r="I118" s="120">
        <f>IF('NZS O&amp;G Summary'!$J$79="Y",1,IF('NZS O&amp;G Summary'!$J$79="n",0,IF('NZS O&amp;G Summary'!$J$79="Under development","Under development",IF('NZS O&amp;G Summary'!$J$79="Not applicable", "Not Applicable"))))</f>
        <v>0</v>
      </c>
      <c r="J118" s="120">
        <f>IF('NZS O&amp;G Summary'!$K$79="Y",1,IF('NZS O&amp;G Summary'!$K$79="N",0,IF('NZS O&amp;G Summary'!$K$79="Under development","Under development",IF('NZS O&amp;G Summary'!$K$79="Not applicable", "Not Applicable"))))</f>
        <v>0</v>
      </c>
      <c r="K118" s="120">
        <f>IF('NZS O&amp;G Summary'!$L$79="Y",1,IF('NZS O&amp;G Summary'!$L$79="n",0,IF('NZS O&amp;G Summary'!$L$79="Under development","Under development",IF('NZS O&amp;G Summary'!$L$79="Not applicable", "Not Applicable"))))</f>
        <v>1</v>
      </c>
      <c r="L118" s="120">
        <f>IF('NZS O&amp;G Summary'!$M$79="Y",1,IF('NZS O&amp;G Summary'!$M$79="N",0,IF('NZS O&amp;G Summary'!$M$79="Under development","Under development",IF('NZS O&amp;G Summary'!$M$79="Not applicable", "Not Applicable"))))</f>
        <v>0</v>
      </c>
      <c r="M118" s="120">
        <f>IF('NZS O&amp;G Summary'!$N$79="Y",1,IF('NZS O&amp;G Summary'!$N$79="n",0,IF('NZS O&amp;G Summary'!$N$79="Under development","Under development",IF('NZS O&amp;G Summary'!$N$79="Not applicable", "Not Applicable"))))</f>
        <v>0</v>
      </c>
      <c r="N118" s="120">
        <f>IF('NZS O&amp;G Summary'!$O$79="Y",1,IF('NZS O&amp;G Summary'!$O$79="N",0,IF('NZS O&amp;G Summary'!$O$79="Under development","Under development",IF('NZS O&amp;G Summary'!$O$79="Not applicable", "Not Applicable"))))</f>
        <v>1</v>
      </c>
      <c r="O118" s="122"/>
      <c r="R118" s="50"/>
    </row>
    <row r="119" spans="2:18" s="40" customFormat="1" ht="15" customHeight="1" outlineLevel="2">
      <c r="B119" s="145" t="str">
        <f t="shared" si="25"/>
        <v>6.i.e</v>
      </c>
      <c r="C119" s="126" t="s">
        <v>479</v>
      </c>
      <c r="D119" s="127" t="s">
        <v>44</v>
      </c>
      <c r="E119" s="120">
        <f>IF('NZS O&amp;G Summary'!$F$80="Y",1,IF('NZS O&amp;G Summary'!$F$80="n",0,IF('NZS O&amp;G Summary'!$F$80="Under development","Under development",IF('NZS O&amp;G Summary'!$F$80="Not applicable", "Not Applicable"))))</f>
        <v>0</v>
      </c>
      <c r="F119" s="120">
        <f>IF('NZS O&amp;G Summary'!$G$80="y",1,IF('NZS O&amp;G Summary'!$G$80="n",0,IF('NZS O&amp;G Summary'!$G$80="Under development","Under development",IF('NZS O&amp;G Summary'!$G$80="Not applicable", "Not Applicable"))))</f>
        <v>0</v>
      </c>
      <c r="G119" s="120">
        <f>IF('NZS O&amp;G Summary'!$H$80="y",1,IF('NZS O&amp;G Summary'!$H$80="n",0,IF('NZS O&amp;G Summary'!$H$80="Under development","Under development",IF('NZS O&amp;G Summary'!$H$80="Not applicable", "Not Applicable"))))</f>
        <v>0</v>
      </c>
      <c r="H119" s="120">
        <f>IF('NZS O&amp;G Summary'!$I$80="y",1,IF('NZS O&amp;G Summary'!$I$80="N",0,IF('NZS O&amp;G Summary'!$I$80="Under development","Under development",IF('NZS O&amp;G Summary'!$I$80="Not applicable", "Not Applicable"))))</f>
        <v>0</v>
      </c>
      <c r="I119" s="120">
        <f>IF('NZS O&amp;G Summary'!$J$80="Y",1,IF('NZS O&amp;G Summary'!$J$80="n",0,IF('NZS O&amp;G Summary'!$J$80="Under development","Under development",IF('NZS O&amp;G Summary'!$J$80="Not applicable", "Not Applicable"))))</f>
        <v>0</v>
      </c>
      <c r="J119" s="120">
        <f>IF('NZS O&amp;G Summary'!$K$80="Y",1,IF('NZS O&amp;G Summary'!$K$80="N",0,IF('NZS O&amp;G Summary'!$K$80="Under development","Under development",IF('NZS O&amp;G Summary'!$K$80="Not applicable", "Not Applicable"))))</f>
        <v>0</v>
      </c>
      <c r="K119" s="120">
        <f>IF('NZS O&amp;G Summary'!$L$80="Y",1,IF('NZS O&amp;G Summary'!$L$80="n",0,IF('NZS O&amp;G Summary'!$L$80="Under development","Under development",IF('NZS O&amp;G Summary'!$L$80="Not applicable", "Not Applicable"))))</f>
        <v>0</v>
      </c>
      <c r="L119" s="120">
        <f>IF('NZS O&amp;G Summary'!$M$80="Y",1,IF('NZS O&amp;G Summary'!$M$80="N",0,IF('NZS O&amp;G Summary'!$M$80="Under development","Under development",IF('NZS O&amp;G Summary'!$M$80="Not applicable", "Not Applicable"))))</f>
        <v>0</v>
      </c>
      <c r="M119" s="120">
        <f>IF('NZS O&amp;G Summary'!$N$80="Y",1,IF('NZS O&amp;G Summary'!$N$80="n",0,IF('NZS O&amp;G Summary'!$N$80="Under development","Under development",IF('NZS O&amp;G Summary'!$N$80="Not applicable", "Not Applicable"))))</f>
        <v>0</v>
      </c>
      <c r="N119" s="120">
        <f>IF('NZS O&amp;G Summary'!$O$80="Y",1,IF('NZS O&amp;G Summary'!$O$80="N",0,IF('NZS O&amp;G Summary'!$O$80="Under development","Under development",IF('NZS O&amp;G Summary'!$O$80="Not applicable", "Not Applicable"))))</f>
        <v>0</v>
      </c>
      <c r="O119" s="122"/>
      <c r="R119" s="50"/>
    </row>
    <row r="120" spans="2:18" s="40" customFormat="1" ht="15" customHeight="1" outlineLevel="2">
      <c r="B120" s="145" t="str">
        <f t="shared" si="25"/>
        <v>6.i.f</v>
      </c>
      <c r="C120" s="126" t="s">
        <v>480</v>
      </c>
      <c r="D120" s="127" t="s">
        <v>44</v>
      </c>
      <c r="E120" s="120">
        <f>IF('NZS O&amp;G Summary'!$F$81="Y",1,IF('NZS O&amp;G Summary'!$F$81="n",0,IF('NZS O&amp;G Summary'!$F$81="Under development","Under development",IF('NZS O&amp;G Summary'!$F$81="Not applicable", "Not Applicable"))))</f>
        <v>0</v>
      </c>
      <c r="F120" s="120">
        <f>IF('NZS O&amp;G Summary'!$G$81="y",1,IF('NZS O&amp;G Summary'!$G$81="n",0,IF('NZS O&amp;G Summary'!$G$81="Under development","Under development",IF('NZS O&amp;G Summary'!$G$81="Not applicable", "Not Applicable"))))</f>
        <v>0</v>
      </c>
      <c r="G120" s="120">
        <f>IF('NZS O&amp;G Summary'!$H$81="y",1,IF('NZS O&amp;G Summary'!$H$81="n",0,IF('NZS O&amp;G Summary'!$H$81="Under development","Under development",IF('NZS O&amp;G Summary'!$H$81="Not applicable", "Not Applicable"))))</f>
        <v>0</v>
      </c>
      <c r="H120" s="120">
        <f>IF('NZS O&amp;G Summary'!$I$81="y",1,IF('NZS O&amp;G Summary'!$I$81="N",0,IF('NZS O&amp;G Summary'!$I$81="Under development","Under development",IF('NZS O&amp;G Summary'!$I$81="Not applicable", "Not Applicable"))))</f>
        <v>0</v>
      </c>
      <c r="I120" s="120">
        <f>IF('NZS O&amp;G Summary'!$J$81="Y",1,IF('NZS O&amp;G Summary'!$J$81="n",0,IF('NZS O&amp;G Summary'!$J$81="Under development","Under development",IF('NZS O&amp;G Summary'!$J$81="Not applicable", "Not Applicable"))))</f>
        <v>0</v>
      </c>
      <c r="J120" s="120">
        <f>IF('NZS O&amp;G Summary'!$K$81="Y",1,IF('NZS O&amp;G Summary'!$K$81="N",0,IF('NZS O&amp;G Summary'!$K$81="Under development","Under development",IF('NZS O&amp;G Summary'!$K$81="Not applicable", "Not Applicable"))))</f>
        <v>0</v>
      </c>
      <c r="K120" s="120">
        <f>IF('NZS O&amp;G Summary'!$L$81="Y",1,IF('NZS O&amp;G Summary'!$L$81="n",0,IF('NZS O&amp;G Summary'!$L$81="Under development","Under development",IF('NZS O&amp;G Summary'!$L$81="Not applicable", "Not Applicable"))))</f>
        <v>0</v>
      </c>
      <c r="L120" s="120">
        <f>IF('NZS O&amp;G Summary'!$M$81="Y",1,IF('NZS O&amp;G Summary'!$M$81="N",0,IF('NZS O&amp;G Summary'!$M$81="Under development","Under development",IF('NZS O&amp;G Summary'!$M$81="Not applicable", "Not Applicable"))))</f>
        <v>0</v>
      </c>
      <c r="M120" s="120">
        <f>IF('NZS O&amp;G Summary'!$N$81="Y",1,IF('NZS O&amp;G Summary'!$N$81="n",0,IF('NZS O&amp;G Summary'!$N$81="Under development","Under development",IF('NZS O&amp;G Summary'!$N$81="Not applicable", "Not Applicable"))))</f>
        <v>0</v>
      </c>
      <c r="N120" s="120">
        <f>IF('NZS O&amp;G Summary'!$O$81="Y",1,IF('NZS O&amp;G Summary'!$O$81="N",0,IF('NZS O&amp;G Summary'!$O$81="Under development","Under development",IF('NZS O&amp;G Summary'!$O$81="Not applicable", "Not Applicable"))))</f>
        <v>0</v>
      </c>
      <c r="O120" s="122"/>
      <c r="R120" s="50"/>
    </row>
    <row r="121" spans="2:18" s="40" customFormat="1" ht="15" customHeight="1" outlineLevel="2">
      <c r="B121" s="145" t="str">
        <f t="shared" si="25"/>
        <v>6.i.g</v>
      </c>
      <c r="C121" s="126" t="s">
        <v>481</v>
      </c>
      <c r="D121" s="127" t="s">
        <v>45</v>
      </c>
      <c r="E121" s="120" t="str">
        <f>IF('NZS O&amp;G Summary'!$F$82="Y",1,IF('NZS O&amp;G Summary'!$F$82="n",0,IF('NZS O&amp;G Summary'!$F$82="Under development","Under development",IF('NZS O&amp;G Summary'!$F$82="Not applicable", "Not Applicable"))))</f>
        <v>Under development</v>
      </c>
      <c r="F121" s="120" t="str">
        <f>IF('NZS O&amp;G Summary'!$G$82="y",1,IF('NZS O&amp;G Summary'!$G$82="n",0,IF('NZS O&amp;G Summary'!$G$82="Under development","Under development",IF('NZS O&amp;G Summary'!$G$82="Not applicable", "Not Applicable"))))</f>
        <v>Under development</v>
      </c>
      <c r="G121" s="120" t="str">
        <f>IF('NZS O&amp;G Summary'!$H$82="y",1,IF('NZS O&amp;G Summary'!$H$82="n",0,IF('NZS O&amp;G Summary'!$H$82="Under development","Under development",IF('NZS O&amp;G Summary'!$H$82="Not applicable", "Not Applicable"))))</f>
        <v>Under development</v>
      </c>
      <c r="H121" s="120" t="str">
        <f>IF('NZS O&amp;G Summary'!$I$82="y",1,IF('NZS O&amp;G Summary'!$I$82="N",0,IF('NZS O&amp;G Summary'!$I$82="Under development","Under development",IF('NZS O&amp;G Summary'!$I$82="Not applicable", "Not Applicable"))))</f>
        <v>Under development</v>
      </c>
      <c r="I121" s="120" t="str">
        <f>IF('NZS O&amp;G Summary'!$J$82="Y",1,IF('NZS O&amp;G Summary'!$J$82="n",0,IF('NZS O&amp;G Summary'!$J$82="Under development","Under development",IF('NZS O&amp;G Summary'!$J$82="Not applicable", "Not Applicable"))))</f>
        <v>Under development</v>
      </c>
      <c r="J121" s="120" t="str">
        <f>IF('NZS O&amp;G Summary'!$K$82="Y",1,IF('NZS O&amp;G Summary'!$K$82="N",0,IF('NZS O&amp;G Summary'!$K$82="Under development","Under development",IF('NZS O&amp;G Summary'!$K$82="Not applicable", "Not Applicable"))))</f>
        <v>Under development</v>
      </c>
      <c r="K121" s="120" t="str">
        <f>IF('NZS O&amp;G Summary'!$L$82="Y",1,IF('NZS O&amp;G Summary'!$L$82="n",0,IF('NZS O&amp;G Summary'!$L$82="Under development","Under development",IF('NZS O&amp;G Summary'!$L$82="Not applicable", "Not Applicable"))))</f>
        <v>Under development</v>
      </c>
      <c r="L121" s="120" t="str">
        <f>IF('NZS O&amp;G Summary'!$M$82="Y",1,IF('NZS O&amp;G Summary'!$M$82="N",0,IF('NZS O&amp;G Summary'!$M$82="Under development","Under development",IF('NZS O&amp;G Summary'!$M$82="Not applicable", "Not Applicable"))))</f>
        <v>Under development</v>
      </c>
      <c r="M121" s="120" t="str">
        <f>IF('NZS O&amp;G Summary'!$N$82="Y",1,IF('NZS O&amp;G Summary'!$N$82="n",0,IF('NZS O&amp;G Summary'!$N$82="Under development","Under development",IF('NZS O&amp;G Summary'!$N$82="Not applicable", "Not Applicable"))))</f>
        <v>Under development</v>
      </c>
      <c r="N121" s="120" t="str">
        <f>IF('NZS O&amp;G Summary'!$O$82="Y",1,IF('NZS O&amp;G Summary'!$O$82="N",0,IF('NZS O&amp;G Summary'!$O$82="Under development","Under development",IF('NZS O&amp;G Summary'!$O$82="Not applicable", "Not Applicable"))))</f>
        <v>Under development</v>
      </c>
      <c r="O121" s="122"/>
      <c r="R121" s="50"/>
    </row>
    <row r="122" spans="2:18" s="40" customFormat="1" ht="15" customHeight="1" outlineLevel="2">
      <c r="B122" s="145" t="str">
        <f t="shared" si="25"/>
        <v>6.i.h</v>
      </c>
      <c r="C122" s="126" t="s">
        <v>482</v>
      </c>
      <c r="D122" s="127" t="s">
        <v>44</v>
      </c>
      <c r="E122" s="120">
        <f>IF('NZS O&amp;G Summary'!$F$83="Y",1,IF('NZS O&amp;G Summary'!$F$83="n",0,IF('NZS O&amp;G Summary'!$F$83="Under development","Under development",IF('NZS O&amp;G Summary'!$F$83="Not applicable", "Not Applicable"))))</f>
        <v>0</v>
      </c>
      <c r="F122" s="120">
        <f>IF('NZS O&amp;G Summary'!$G$83="y",1,IF('NZS O&amp;G Summary'!$G$83="n",0,IF('NZS O&amp;G Summary'!$G$83="Under development","Under development",IF('NZS O&amp;G Summary'!$G$83="Not applicable", "Not Applicable"))))</f>
        <v>0</v>
      </c>
      <c r="G122" s="120">
        <f>IF('NZS O&amp;G Summary'!$H$83="y",1,IF('NZS O&amp;G Summary'!$H$83="n",0,IF('NZS O&amp;G Summary'!$H$83="Under development","Under development",IF('NZS O&amp;G Summary'!$H$83="Not applicable", "Not Applicable"))))</f>
        <v>0</v>
      </c>
      <c r="H122" s="120">
        <f>IF('NZS O&amp;G Summary'!$I$83="y",1,IF('NZS O&amp;G Summary'!$I$83="N",0,IF('NZS O&amp;G Summary'!$I$83="Under development","Under development",IF('NZS O&amp;G Summary'!$I$83="Not applicable", "Not Applicable"))))</f>
        <v>0</v>
      </c>
      <c r="I122" s="120">
        <f>IF('NZS O&amp;G Summary'!$J$83="Y",1,IF('NZS O&amp;G Summary'!$J$83="n",0,IF('NZS O&amp;G Summary'!$J$83="Under development","Under development",IF('NZS O&amp;G Summary'!$J$83="Not applicable", "Not Applicable"))))</f>
        <v>0</v>
      </c>
      <c r="J122" s="120">
        <f>IF('NZS O&amp;G Summary'!$K$83="Y",1,IF('NZS O&amp;G Summary'!$K$83="N",0,IF('NZS O&amp;G Summary'!$K$83="Under development","Under development",IF('NZS O&amp;G Summary'!$K$83="Not applicable", "Not Applicable"))))</f>
        <v>0</v>
      </c>
      <c r="K122" s="120">
        <f>IF('NZS O&amp;G Summary'!$L$83="Y",1,IF('NZS O&amp;G Summary'!$L$83="n",0,IF('NZS O&amp;G Summary'!$L$83="Under development","Under development",IF('NZS O&amp;G Summary'!$L$83="Not applicable", "Not Applicable"))))</f>
        <v>0</v>
      </c>
      <c r="L122" s="120">
        <f>IF('NZS O&amp;G Summary'!$M$83="Y",1,IF('NZS O&amp;G Summary'!$M$83="N",0,IF('NZS O&amp;G Summary'!$M$83="Under development","Under development",IF('NZS O&amp;G Summary'!$M$83="Not applicable", "Not Applicable"))))</f>
        <v>0</v>
      </c>
      <c r="M122" s="120">
        <f>IF('NZS O&amp;G Summary'!$N$83="Y",1,IF('NZS O&amp;G Summary'!$N$83="n",0,IF('NZS O&amp;G Summary'!$N$83="Under development","Under development",IF('NZS O&amp;G Summary'!$N$83="Not applicable", "Not Applicable"))))</f>
        <v>0</v>
      </c>
      <c r="N122" s="120">
        <f>IF('NZS O&amp;G Summary'!$O$83="Y",1,IF('NZS O&amp;G Summary'!$O$83="N",0,IF('NZS O&amp;G Summary'!$O$83="Under development","Under development",IF('NZS O&amp;G Summary'!$O$83="Not applicable", "Not Applicable"))))</f>
        <v>0</v>
      </c>
      <c r="O122" s="122"/>
      <c r="R122" s="50"/>
    </row>
    <row r="123" spans="2:18" s="40" customFormat="1" ht="15" customHeight="1" outlineLevel="2">
      <c r="B123" s="145" t="str">
        <f t="shared" si="25"/>
        <v>6.i.i</v>
      </c>
      <c r="C123" s="126" t="s">
        <v>483</v>
      </c>
      <c r="D123" s="127" t="s">
        <v>45</v>
      </c>
      <c r="E123" s="120" t="str">
        <f>IF('NZS O&amp;G Summary'!$F$84="Y",1,IF('NZS O&amp;G Summary'!$F$84="n",0,IF('NZS O&amp;G Summary'!$F$84="Under development","Under development",IF('NZS O&amp;G Summary'!$F$84="Not applicable", "Not Applicable"))))</f>
        <v>Under development</v>
      </c>
      <c r="F123" s="120" t="str">
        <f>IF('NZS O&amp;G Summary'!$G$84="y",1,IF('NZS O&amp;G Summary'!$G$84="n",0,IF('NZS O&amp;G Summary'!$G$84="Under development","Under development",IF('NZS O&amp;G Summary'!$G$84="Not applicable", "Not Applicable"))))</f>
        <v>Under development</v>
      </c>
      <c r="G123" s="120" t="str">
        <f>IF('NZS O&amp;G Summary'!$H$84="y",1,IF('NZS O&amp;G Summary'!$H$84="n",0,IF('NZS O&amp;G Summary'!$H$84="Under development","Under development",IF('NZS O&amp;G Summary'!$H$84="Not applicable", "Not Applicable"))))</f>
        <v>Under development</v>
      </c>
      <c r="H123" s="120" t="str">
        <f>IF('NZS O&amp;G Summary'!$I$84="y",1,IF('NZS O&amp;G Summary'!$I$84="N",0,IF('NZS O&amp;G Summary'!$I$84="Under development","Under development",IF('NZS O&amp;G Summary'!$I$84="Not applicable", "Not Applicable"))))</f>
        <v>Under development</v>
      </c>
      <c r="I123" s="120" t="str">
        <f>IF('NZS O&amp;G Summary'!$J$84="Y",1,IF('NZS O&amp;G Summary'!$J$84="n",0,IF('NZS O&amp;G Summary'!$J$84="Under development","Under development",IF('NZS O&amp;G Summary'!$J$84="Not applicable", "Not Applicable"))))</f>
        <v>Under development</v>
      </c>
      <c r="J123" s="120" t="str">
        <f>IF('NZS O&amp;G Summary'!$K$84="Y",1,IF('NZS O&amp;G Summary'!$K$84="N",0,IF('NZS O&amp;G Summary'!$K$84="Under development","Under development",IF('NZS O&amp;G Summary'!$K$84="Not applicable", "Not Applicable"))))</f>
        <v>Under development</v>
      </c>
      <c r="K123" s="120" t="str">
        <f>IF('NZS O&amp;G Summary'!$L$84="Y",1,IF('NZS O&amp;G Summary'!$L$84="n",0,IF('NZS O&amp;G Summary'!$L$84="Under development","Under development",IF('NZS O&amp;G Summary'!$L$84="Not applicable", "Not Applicable"))))</f>
        <v>Under development</v>
      </c>
      <c r="L123" s="120" t="str">
        <f>IF('NZS O&amp;G Summary'!$M$84="Y",1,IF('NZS O&amp;G Summary'!$M$84="N",0,IF('NZS O&amp;G Summary'!$M$84="Under development","Under development",IF('NZS O&amp;G Summary'!$M$84="Not applicable", "Not Applicable"))))</f>
        <v>Under development</v>
      </c>
      <c r="M123" s="120" t="str">
        <f>IF('NZS O&amp;G Summary'!$N$84="Y",1,IF('NZS O&amp;G Summary'!$N$84="n",0,IF('NZS O&amp;G Summary'!$N$84="Under development","Under development",IF('NZS O&amp;G Summary'!$N$84="Not applicable", "Not Applicable"))))</f>
        <v>Under development</v>
      </c>
      <c r="N123" s="120" t="str">
        <f>IF('NZS O&amp;G Summary'!$O$84="Y",1,IF('NZS O&amp;G Summary'!$O$84="N",0,IF('NZS O&amp;G Summary'!$O$84="Under development","Under development",IF('NZS O&amp;G Summary'!$O$84="Not applicable", "Not Applicable"))))</f>
        <v>Under development</v>
      </c>
      <c r="O123" s="122"/>
      <c r="R123" s="50"/>
    </row>
    <row r="124" spans="2:18" s="40" customFormat="1" ht="15" customHeight="1" outlineLevel="1">
      <c r="B124" s="145">
        <v>6.2</v>
      </c>
      <c r="C124" s="91" t="s">
        <v>484</v>
      </c>
      <c r="D124" s="119" t="s">
        <v>46</v>
      </c>
      <c r="E124" s="120">
        <f t="shared" ref="E124:N124" si="26">SUM(E125,E126,E127,E128,E129,E130,E131,E132,E133,E134,E135)/COUNT(E125,E126,E127,E128,E129,E130,E131,E132,E133,E134,E135)</f>
        <v>0.8</v>
      </c>
      <c r="F124" s="120">
        <f t="shared" si="26"/>
        <v>0.3</v>
      </c>
      <c r="G124" s="120">
        <f t="shared" si="26"/>
        <v>0</v>
      </c>
      <c r="H124" s="120">
        <f t="shared" si="26"/>
        <v>0.7</v>
      </c>
      <c r="I124" s="120">
        <f t="shared" si="26"/>
        <v>0.1</v>
      </c>
      <c r="J124" s="120">
        <f t="shared" si="26"/>
        <v>0</v>
      </c>
      <c r="K124" s="120">
        <f t="shared" si="26"/>
        <v>0.6</v>
      </c>
      <c r="L124" s="120">
        <f t="shared" si="26"/>
        <v>0.1</v>
      </c>
      <c r="M124" s="120">
        <f t="shared" si="26"/>
        <v>0</v>
      </c>
      <c r="N124" s="120">
        <f t="shared" si="26"/>
        <v>0.7</v>
      </c>
      <c r="O124" s="122"/>
      <c r="R124" s="50"/>
    </row>
    <row r="125" spans="2:18" s="40" customFormat="1" ht="15" customHeight="1" outlineLevel="2">
      <c r="B125" s="145" t="str">
        <f t="shared" si="24"/>
        <v>6.2.a</v>
      </c>
      <c r="C125" s="93" t="s">
        <v>177</v>
      </c>
      <c r="D125" s="119" t="s">
        <v>46</v>
      </c>
      <c r="E125" s="120">
        <f>IF('CA100 2023 Scores'!$E$43="y",1,IF('CA100 2023 Scores'!$E$43="N",0,IF('CA100 2023 Scores'!$E$43="Partial",0.5,IF('CA100 2023 Scores'!$E$43="Not assessed","Under development"))))</f>
        <v>1</v>
      </c>
      <c r="F125" s="120">
        <f>IF('CA100 2023 Scores'!$F$43="y",1,IF('CA100 2023 Scores'!$F$43="N",0,IF('CA100 2023 Scores'!$F$43="Partial",0.5,IF('CA100 2023 Scores'!$F$43="Not assessed","Under development"))))</f>
        <v>0</v>
      </c>
      <c r="G125" s="120">
        <f>IF('CA100 2023 Scores'!$G$43="y",1,IF('CA100 2023 Scores'!$G$43="N",0,IF('CA100 2023 Scores'!$G$43="Partial",0.5,IF('CA100 2023 Scores'!$G$43="Not assessed","Under development"))))</f>
        <v>0</v>
      </c>
      <c r="H125" s="120">
        <f>IF('CA100 2023 Scores'!$H$43="y",1,IF('CA100 2023 Scores'!$H$43="N",0,IF('CA100 2023 Scores'!$H$43="Partial",0.5,IF('CA100 2023 Scores'!$H$43="Not assessed","Under development"))))</f>
        <v>1</v>
      </c>
      <c r="I125" s="120">
        <f>IF('CA100 2023 Scores'!$I$43="y",1,IF('CA100 2023 Scores'!$I$43="N",0,IF('CA100 2023 Scores'!$I$43="Partial",0.5,IF('CA100 2023 Scores'!$I$43="Not assessed","Under development"))))</f>
        <v>0</v>
      </c>
      <c r="J125" s="120">
        <f>IF('CA100 2023 Scores'!$J$43="y",1,IF('CA100 2023 Scores'!$J$43="N",0,IF('CA100 2023 Scores'!$J$43="Partial",0.5,IF('CA100 2023 Scores'!$J$43="Not assessed","Under development"))))</f>
        <v>0</v>
      </c>
      <c r="K125" s="120">
        <f>IF('CA100 2023 Scores'!$K$43="y",1,IF('CA100 2023 Scores'!$K$43="N",0,IF('CA100 2023 Scores'!$K$43="Partial",0.5,IF('CA100 2023 Scores'!$K$43="Not assessed","Under development"))))</f>
        <v>0</v>
      </c>
      <c r="L125" s="120">
        <f>IF('CA100 2023 Scores'!$L$43="y",1,IF('CA100 2023 Scores'!$L$43="N",0,IF('CA100 2023 Scores'!$L$43="Partial",0.5,IF('CA100 2023 Scores'!$L$43="Not assessed","Under development"))))</f>
        <v>1</v>
      </c>
      <c r="M125" s="120">
        <f>IF('CA100 2023 Scores'!$M$43="y",1,IF('CA100 2023 Scores'!$M$43="N",0,IF('CA100 2023 Scores'!$M$43="Partial",0.5,IF('CA100 2023 Scores'!$M$43="Not assessed","Under development"))))</f>
        <v>0</v>
      </c>
      <c r="N125" s="120">
        <f>IF('CA100 2023 Scores'!$N$43="y",1,IF('CA100 2023 Scores'!$N$43="N",0,IF('CA100 2023 Scores'!$N$43="Partial",0.5,IF('CA100 2023 Scores'!$N$43="Not assessed","Under development"))))</f>
        <v>1</v>
      </c>
      <c r="O125" s="122"/>
      <c r="R125" s="50"/>
    </row>
    <row r="126" spans="2:18" s="40" customFormat="1" ht="15" customHeight="1" outlineLevel="2">
      <c r="B126" s="145" t="str">
        <f t="shared" si="24"/>
        <v>6.2.b</v>
      </c>
      <c r="C126" s="93" t="s">
        <v>178</v>
      </c>
      <c r="D126" s="119" t="s">
        <v>46</v>
      </c>
      <c r="E126" s="120">
        <f>IF('CA100 2023 Scores'!$E$44="y",1,IF('CA100 2023 Scores'!$E$44="N",0,IF('CA100 2023 Scores'!$E$44="Partial",0.5,IF('CA100 2023 Scores'!$E$44="Not assessed","Under development"))))</f>
        <v>1</v>
      </c>
      <c r="F126" s="120">
        <f>IF('CA100 2023 Scores'!$F$44="y",1,IF('CA100 2023 Scores'!$F$44="N",0,IF('CA100 2023 Scores'!$F$44="Partial",0.5,IF('CA100 2023 Scores'!$F$44="Not assessed","Under development"))))</f>
        <v>1</v>
      </c>
      <c r="G126" s="120">
        <f>IF('CA100 2023 Scores'!$G$44="y",1,IF('CA100 2023 Scores'!$G$44="N",0,IF('CA100 2023 Scores'!$G$44="Partial",0.5,IF('CA100 2023 Scores'!$G$44="Not assessed","Under development"))))</f>
        <v>0</v>
      </c>
      <c r="H126" s="120">
        <f>IF('CA100 2023 Scores'!$H$44="y",1,IF('CA100 2023 Scores'!$H$44="N",0,IF('CA100 2023 Scores'!$H$44="Partial",0.5,IF('CA100 2023 Scores'!$H$44="Not assessed","Under development"))))</f>
        <v>1</v>
      </c>
      <c r="I126" s="120">
        <f>IF('CA100 2023 Scores'!$I$44="y",1,IF('CA100 2023 Scores'!$I$44="N",0,IF('CA100 2023 Scores'!$I$44="Partial",0.5,IF('CA100 2023 Scores'!$I$44="Not assessed","Under development"))))</f>
        <v>1</v>
      </c>
      <c r="J126" s="128" t="str">
        <f>IF('CA100 2023 Scores'!$J$44="y",1,IF('CA100 2023 Scores'!$J$44="N",0,IF('CA100 2023 Scores'!$J$44="Partial",0.5,IF('CA100 2023 Scores'!$J$44="Not applicable","Not Applicable"))))</f>
        <v>Not Applicable</v>
      </c>
      <c r="K126" s="120">
        <f>IF('CA100 2023 Scores'!$K$44="y",1,IF('CA100 2023 Scores'!$K$44="N",0,IF('CA100 2023 Scores'!$K$44="Partial",0.5,IF('CA100 2023 Scores'!$K$44="Not assessed","Under development"))))</f>
        <v>0</v>
      </c>
      <c r="L126" s="120">
        <f>IF('CA100 2023 Scores'!$L$44="y",1,IF('CA100 2023 Scores'!$L$44="N",0,IF('CA100 2023 Scores'!$L$44="Partial",0.5,IF('CA100 2023 Scores'!$L$44="Not assessed","Under development"))))</f>
        <v>0</v>
      </c>
      <c r="M126" s="120">
        <f>IF('CA100 2023 Scores'!$M$44="y",1,IF('CA100 2023 Scores'!$M$44="N",0,IF('CA100 2023 Scores'!$M$44="Partial",0.5,IF('CA100 2023 Scores'!$M$44="Not assessed","Under development"))))</f>
        <v>0</v>
      </c>
      <c r="N126" s="120">
        <f>IF('CA100 2023 Scores'!$N$44="y",1,IF('CA100 2023 Scores'!$N$44="N",0,IF('CA100 2023 Scores'!$N$44="Partial",0.5,IF('CA100 2023 Scores'!$N$44="Not assessed","Under development"))))</f>
        <v>1</v>
      </c>
      <c r="O126" s="122"/>
      <c r="R126" s="50"/>
    </row>
    <row r="127" spans="2:18" s="40" customFormat="1" ht="15" customHeight="1" outlineLevel="2">
      <c r="B127" s="145" t="str">
        <f t="shared" ref="B127:B138" si="27">LEFT(C127,FIND(" ",C127)-1)</f>
        <v>6.ii.a</v>
      </c>
      <c r="C127" s="126" t="s">
        <v>485</v>
      </c>
      <c r="D127" s="127" t="s">
        <v>46</v>
      </c>
      <c r="E127" s="120">
        <f>IF('NZS O&amp;G Summary'!$F$86="Y",1,IF('NZS O&amp;G Summary'!$F$86="n",0,IF('NZS O&amp;G Summary'!$F$86="Under development","Under development",IF('NZS O&amp;G Summary'!$F$86="Not applicable", "Not Applicable"))))</f>
        <v>1</v>
      </c>
      <c r="F127" s="120">
        <f>IF('NZS O&amp;G Summary'!$G$86="y",1,IF('NZS O&amp;G Summary'!$G$86="n",0,IF('NZS O&amp;G Summary'!$G$86="Under development","Under development",IF('NZS O&amp;G Summary'!$G$86="Not applicable", "Not Applicable"))))</f>
        <v>0</v>
      </c>
      <c r="G127" s="120">
        <f>IF('NZS O&amp;G Summary'!$H$86="y",1,IF('NZS O&amp;G Summary'!$H$86="n",0,IF('NZS O&amp;G Summary'!$H$86="Under development","Under development",IF('NZS O&amp;G Summary'!$H$86="Not applicable", "Not Applicable"))))</f>
        <v>0</v>
      </c>
      <c r="H127" s="120">
        <f>IF('NZS O&amp;G Summary'!$I$86="y",1,IF('NZS O&amp;G Summary'!$I$86="N",0,IF('NZS O&amp;G Summary'!$I$86="Under development","Under development",IF('NZS O&amp;G Summary'!$I$86="Not applicable", "Not Applicable"))))</f>
        <v>1</v>
      </c>
      <c r="I127" s="120">
        <f>IF('NZS O&amp;G Summary'!$J$86="Y",1,IF('NZS O&amp;G Summary'!$J$86="n",0,IF('NZS O&amp;G Summary'!$J$86="Under development","Under development",IF('NZS O&amp;G Summary'!$J$86="Not applicable", "Not Applicable"))))</f>
        <v>0</v>
      </c>
      <c r="J127" s="120">
        <f>IF('NZS O&amp;G Summary'!$K$86="Y",1,IF('NZS O&amp;G Summary'!$K$86="N",0,IF('NZS O&amp;G Summary'!$K$86="Under development","Under development",IF('NZS O&amp;G Summary'!$K$86="Not applicable", "Not Applicable"))))</f>
        <v>0</v>
      </c>
      <c r="K127" s="120">
        <f>IF('NZS O&amp;G Summary'!$L$86="Y",1,IF('NZS O&amp;G Summary'!$L$86="n",0,IF('NZS O&amp;G Summary'!$L$86="Under development","Under development",IF('NZS O&amp;G Summary'!$L$86="Not applicable", "Not Applicable"))))</f>
        <v>1</v>
      </c>
      <c r="L127" s="120">
        <f>IF('NZS O&amp;G Summary'!$M$86="Y",1,IF('NZS O&amp;G Summary'!$M$86="N",0,IF('NZS O&amp;G Summary'!$M$86="Under development","Under development",IF('NZS O&amp;G Summary'!$M$86="Not applicable", "Not Applicable"))))</f>
        <v>0</v>
      </c>
      <c r="M127" s="120">
        <f>IF('NZS O&amp;G Summary'!$N$86="Y",1,IF('NZS O&amp;G Summary'!$N$86="n",0,IF('NZS O&amp;G Summary'!$N$86="Under development","Under development",IF('NZS O&amp;G Summary'!$N$86="Not applicable", "Not Applicable"))))</f>
        <v>0</v>
      </c>
      <c r="N127" s="120">
        <f>IF('NZS O&amp;G Summary'!$O$86="Y",1,IF('NZS O&amp;G Summary'!$O$86="N",0,IF('NZS O&amp;G Summary'!$O$86="Under development","Under development",IF('NZS O&amp;G Summary'!$O$86="Not applicable", "Not Applicable"))))</f>
        <v>1</v>
      </c>
      <c r="O127" s="122"/>
      <c r="R127" s="50"/>
    </row>
    <row r="128" spans="2:18" s="40" customFormat="1" ht="15" customHeight="1" outlineLevel="2">
      <c r="B128" s="145" t="str">
        <f t="shared" si="27"/>
        <v>6.ii.b</v>
      </c>
      <c r="C128" s="126" t="s">
        <v>486</v>
      </c>
      <c r="D128" s="127" t="s">
        <v>46</v>
      </c>
      <c r="E128" s="120">
        <f>IF('NZS O&amp;G Summary'!$F$87="Y",1,IF('NZS O&amp;G Summary'!$F$87="n",0,IF('NZS O&amp;G Summary'!$F$87="Under development","Under development",IF('NZS O&amp;G Summary'!$F$87="Not applicable", "Not Applicable"))))</f>
        <v>1</v>
      </c>
      <c r="F128" s="120">
        <f>IF('NZS O&amp;G Summary'!$G$87="y",1,IF('NZS O&amp;G Summary'!$G$87="n",0,IF('NZS O&amp;G Summary'!$G$87="Under development","Under development",IF('NZS O&amp;G Summary'!$G$87="Not applicable", "Not Applicable"))))</f>
        <v>0</v>
      </c>
      <c r="G128" s="120">
        <f>IF('NZS O&amp;G Summary'!$H$87="y",1,IF('NZS O&amp;G Summary'!$H$87="n",0,IF('NZS O&amp;G Summary'!$H$87="Under development","Under development",IF('NZS O&amp;G Summary'!$H$87="Not applicable", "Not Applicable"))))</f>
        <v>0</v>
      </c>
      <c r="H128" s="120">
        <f>IF('NZS O&amp;G Summary'!$I$87="y",1,IF('NZS O&amp;G Summary'!$I$87="N",0,IF('NZS O&amp;G Summary'!$I$87="Under development","Under development",IF('NZS O&amp;G Summary'!$I$87="Not applicable", "Not Applicable"))))</f>
        <v>1</v>
      </c>
      <c r="I128" s="120">
        <f>IF('NZS O&amp;G Summary'!$J$87="Y",1,IF('NZS O&amp;G Summary'!$J$87="n",0,IF('NZS O&amp;G Summary'!$J$87="Under development","Under development",IF('NZS O&amp;G Summary'!$J$87="Not applicable", "Not Applicable"))))</f>
        <v>0</v>
      </c>
      <c r="J128" s="120">
        <f>IF('NZS O&amp;G Summary'!$K$87="Y",1,IF('NZS O&amp;G Summary'!$K$87="N",0,IF('NZS O&amp;G Summary'!$K$87="Under development","Under development",IF('NZS O&amp;G Summary'!$K$87="Not applicable", "Not Applicable"))))</f>
        <v>0</v>
      </c>
      <c r="K128" s="120">
        <f>IF('NZS O&amp;G Summary'!$L$87="Y",1,IF('NZS O&amp;G Summary'!$L$87="n",0,IF('NZS O&amp;G Summary'!$L$87="Under development","Under development",IF('NZS O&amp;G Summary'!$L$87="Not applicable", "Not Applicable"))))</f>
        <v>1</v>
      </c>
      <c r="L128" s="120">
        <f>IF('NZS O&amp;G Summary'!$M$87="Y",1,IF('NZS O&amp;G Summary'!$M$87="N",0,IF('NZS O&amp;G Summary'!$M$87="Under development","Under development",IF('NZS O&amp;G Summary'!$M$87="Not applicable", "Not Applicable"))))</f>
        <v>0</v>
      </c>
      <c r="M128" s="120">
        <f>IF('NZS O&amp;G Summary'!$N$87="Y",1,IF('NZS O&amp;G Summary'!$N$87="n",0,IF('NZS O&amp;G Summary'!$N$87="Under development","Under development",IF('NZS O&amp;G Summary'!$N$87="Not applicable", "Not Applicable"))))</f>
        <v>0</v>
      </c>
      <c r="N128" s="120">
        <f>IF('NZS O&amp;G Summary'!$O$87="Y",1,IF('NZS O&amp;G Summary'!$O$87="N",0,IF('NZS O&amp;G Summary'!$O$87="Under development","Under development",IF('NZS O&amp;G Summary'!$O$87="Not applicable", "Not Applicable"))))</f>
        <v>1</v>
      </c>
      <c r="O128" s="122"/>
      <c r="R128" s="50"/>
    </row>
    <row r="129" spans="2:18" s="40" customFormat="1" ht="15" customHeight="1" outlineLevel="2">
      <c r="B129" s="145" t="str">
        <f t="shared" si="27"/>
        <v>6.ii.c</v>
      </c>
      <c r="C129" s="126" t="s">
        <v>487</v>
      </c>
      <c r="D129" s="127" t="s">
        <v>46</v>
      </c>
      <c r="E129" s="120">
        <f>IF('NZS O&amp;G Summary'!$F$88="Y",1,IF('NZS O&amp;G Summary'!$F$88="n",0,IF('NZS O&amp;G Summary'!$F$88="Under development","Under development",IF('NZS O&amp;G Summary'!$F$88="Not applicable", "Not Applicable"))))</f>
        <v>0</v>
      </c>
      <c r="F129" s="120">
        <f>IF('NZS O&amp;G Summary'!$G$88="y",1,IF('NZS O&amp;G Summary'!$G$88="n",0,IF('NZS O&amp;G Summary'!$G$88="Under development","Under development",IF('NZS O&amp;G Summary'!$G$88="Not applicable", "Not Applicable"))))</f>
        <v>0</v>
      </c>
      <c r="G129" s="120">
        <f>IF('NZS O&amp;G Summary'!$H$88="y",1,IF('NZS O&amp;G Summary'!$H$88="n",0,IF('NZS O&amp;G Summary'!$H$88="Under development","Under development",IF('NZS O&amp;G Summary'!$H$88="Not applicable", "Not Applicable"))))</f>
        <v>0</v>
      </c>
      <c r="H129" s="120">
        <f>IF('NZS O&amp;G Summary'!$I$88="y",1,IF('NZS O&amp;G Summary'!$I$88="N",0,IF('NZS O&amp;G Summary'!$I$88="Under development","Under development",IF('NZS O&amp;G Summary'!$I$88="Not applicable", "Not Applicable"))))</f>
        <v>0</v>
      </c>
      <c r="I129" s="120">
        <f>IF('NZS O&amp;G Summary'!$J$88="Y",1,IF('NZS O&amp;G Summary'!$J$88="n",0,IF('NZS O&amp;G Summary'!$J$88="Under development","Under development",IF('NZS O&amp;G Summary'!$J$88="Not applicable", "Not Applicable"))))</f>
        <v>0</v>
      </c>
      <c r="J129" s="120">
        <f>IF('NZS O&amp;G Summary'!$K$88="Y",1,IF('NZS O&amp;G Summary'!$K$88="N",0,IF('NZS O&amp;G Summary'!$K$88="Under development","Under development",IF('NZS O&amp;G Summary'!$K$88="Not applicable", "Not Applicable"))))</f>
        <v>0</v>
      </c>
      <c r="K129" s="120">
        <f>IF('NZS O&amp;G Summary'!$L$88="Y",1,IF('NZS O&amp;G Summary'!$L$88="n",0,IF('NZS O&amp;G Summary'!$L$88="Under development","Under development",IF('NZS O&amp;G Summary'!$L$88="Not applicable", "Not Applicable"))))</f>
        <v>0</v>
      </c>
      <c r="L129" s="120">
        <f>IF('NZS O&amp;G Summary'!$M$88="Y",1,IF('NZS O&amp;G Summary'!$M$88="N",0,IF('NZS O&amp;G Summary'!$M$88="Under development","Under development",IF('NZS O&amp;G Summary'!$M$88="Not applicable", "Not Applicable"))))</f>
        <v>0</v>
      </c>
      <c r="M129" s="120">
        <f>IF('NZS O&amp;G Summary'!$N$88="Y",1,IF('NZS O&amp;G Summary'!$N$88="n",0,IF('NZS O&amp;G Summary'!$N$88="Under development","Under development",IF('NZS O&amp;G Summary'!$N$88="Not applicable", "Not Applicable"))))</f>
        <v>0</v>
      </c>
      <c r="N129" s="120">
        <f>IF('NZS O&amp;G Summary'!$O$88="Y",1,IF('NZS O&amp;G Summary'!$O$88="N",0,IF('NZS O&amp;G Summary'!$O$88="Under development","Under development",IF('NZS O&amp;G Summary'!$O$88="Not applicable", "Not Applicable"))))</f>
        <v>0</v>
      </c>
      <c r="O129" s="122"/>
      <c r="R129" s="50"/>
    </row>
    <row r="130" spans="2:18" s="40" customFormat="1" ht="15" customHeight="1" outlineLevel="2">
      <c r="B130" s="145" t="str">
        <f t="shared" si="27"/>
        <v>6.ii.d</v>
      </c>
      <c r="C130" s="126" t="s">
        <v>488</v>
      </c>
      <c r="D130" s="127" t="s">
        <v>46</v>
      </c>
      <c r="E130" s="120">
        <f>IF('NZS O&amp;G Summary'!$F$89="Y",1,IF('NZS O&amp;G Summary'!$F$89="n",0,IF('NZS O&amp;G Summary'!$F$89="Under development","Under development",IF('NZS O&amp;G Summary'!$F$89="Not applicable", "Not Applicable"))))</f>
        <v>1</v>
      </c>
      <c r="F130" s="120">
        <f>IF('NZS O&amp;G Summary'!$G$89="y",1,IF('NZS O&amp;G Summary'!$G$89="n",0,IF('NZS O&amp;G Summary'!$G$89="Under development","Under development",IF('NZS O&amp;G Summary'!$G$89="Not applicable", "Not Applicable"))))</f>
        <v>1</v>
      </c>
      <c r="G130" s="120">
        <f>IF('NZS O&amp;G Summary'!$H$89="y",1,IF('NZS O&amp;G Summary'!$H$89="n",0,IF('NZS O&amp;G Summary'!$H$89="Under development","Under development",IF('NZS O&amp;G Summary'!$H$89="Not applicable", "Not Applicable"))))</f>
        <v>0</v>
      </c>
      <c r="H130" s="120">
        <f>IF('NZS O&amp;G Summary'!$I$89="y",1,IF('NZS O&amp;G Summary'!$I$89="N",0,IF('NZS O&amp;G Summary'!$I$89="Under development","Under development",IF('NZS O&amp;G Summary'!$I$89="Not applicable", "Not Applicable"))))</f>
        <v>1</v>
      </c>
      <c r="I130" s="120">
        <f>IF('NZS O&amp;G Summary'!$J$89="Y",1,IF('NZS O&amp;G Summary'!$J$89="n",0,IF('NZS O&amp;G Summary'!$J$89="Under development","Under development",IF('NZS O&amp;G Summary'!$J$89="Not applicable", "Not Applicable"))))</f>
        <v>0</v>
      </c>
      <c r="J130" s="120">
        <f>IF('NZS O&amp;G Summary'!$K$89="Y",1,IF('NZS O&amp;G Summary'!$K$89="N",0,IF('NZS O&amp;G Summary'!$K$89="Under development","Under development",IF('NZS O&amp;G Summary'!$K$89="Not applicable", "Not Applicable"))))</f>
        <v>0</v>
      </c>
      <c r="K130" s="120">
        <f>IF('NZS O&amp;G Summary'!$L$89="Y",1,IF('NZS O&amp;G Summary'!$L$89="n",0,IF('NZS O&amp;G Summary'!$L$89="Under development","Under development",IF('NZS O&amp;G Summary'!$L$89="Not applicable", "Not Applicable"))))</f>
        <v>1</v>
      </c>
      <c r="L130" s="120">
        <f>IF('NZS O&amp;G Summary'!$M$89="Y",1,IF('NZS O&amp;G Summary'!$M$89="N",0,IF('NZS O&amp;G Summary'!$M$89="Under development","Under development",IF('NZS O&amp;G Summary'!$M$89="Not applicable", "Not Applicable"))))</f>
        <v>0</v>
      </c>
      <c r="M130" s="120">
        <f>IF('NZS O&amp;G Summary'!$N$89="Y",1,IF('NZS O&amp;G Summary'!$N$89="n",0,IF('NZS O&amp;G Summary'!$N$89="Under development","Under development",IF('NZS O&amp;G Summary'!$N$89="Not applicable", "Not Applicable"))))</f>
        <v>0</v>
      </c>
      <c r="N130" s="120">
        <f>IF('NZS O&amp;G Summary'!$O$89="Y",1,IF('NZS O&amp;G Summary'!$O$89="N",0,IF('NZS O&amp;G Summary'!$O$89="Under development","Under development",IF('NZS O&amp;G Summary'!$O$89="Not applicable", "Not Applicable"))))</f>
        <v>1</v>
      </c>
      <c r="O130" s="122"/>
      <c r="R130" s="50"/>
    </row>
    <row r="131" spans="2:18" s="40" customFormat="1" ht="15" customHeight="1" outlineLevel="2">
      <c r="B131" s="145" t="str">
        <f t="shared" si="27"/>
        <v>6.ii.e</v>
      </c>
      <c r="C131" s="126" t="s">
        <v>489</v>
      </c>
      <c r="D131" s="127" t="s">
        <v>46</v>
      </c>
      <c r="E131" s="120">
        <f>IF('NZS O&amp;G Summary'!$F$90="Y",1,IF('NZS O&amp;G Summary'!$F$90="n",0,IF('NZS O&amp;G Summary'!$F$90="Under development","Under development",IF('NZS O&amp;G Summary'!$F$90="Not applicable", "Not Applicable"))))</f>
        <v>1</v>
      </c>
      <c r="F131" s="120">
        <f>IF('NZS O&amp;G Summary'!$G$90="y",1,IF('NZS O&amp;G Summary'!$G$90="n",0,IF('NZS O&amp;G Summary'!$G$90="Under development","Under development",IF('NZS O&amp;G Summary'!$G$90="Not applicable", "Not Applicable"))))</f>
        <v>0</v>
      </c>
      <c r="G131" s="120">
        <f>IF('NZS O&amp;G Summary'!$H$90="y",1,IF('NZS O&amp;G Summary'!$H$90="n",0,IF('NZS O&amp;G Summary'!$H$90="Under development","Under development",IF('NZS O&amp;G Summary'!$H$90="Not applicable", "Not Applicable"))))</f>
        <v>0</v>
      </c>
      <c r="H131" s="120">
        <f>IF('NZS O&amp;G Summary'!$I$90="y",1,IF('NZS O&amp;G Summary'!$I$90="N",0,IF('NZS O&amp;G Summary'!$I$90="Under development","Under development",IF('NZS O&amp;G Summary'!$I$90="Not applicable", "Not Applicable"))))</f>
        <v>0</v>
      </c>
      <c r="I131" s="120">
        <f>IF('NZS O&amp;G Summary'!$J$90="Y",1,IF('NZS O&amp;G Summary'!$J$90="n",0,IF('NZS O&amp;G Summary'!$J$90="Under development","Under development",IF('NZS O&amp;G Summary'!$J$90="Not applicable", "Not Applicable"))))</f>
        <v>0</v>
      </c>
      <c r="J131" s="120">
        <f>IF('NZS O&amp;G Summary'!$K$90="Y",1,IF('NZS O&amp;G Summary'!$K$90="N",0,IF('NZS O&amp;G Summary'!$K$90="Under development","Under development",IF('NZS O&amp;G Summary'!$K$90="Not applicable", "Not Applicable"))))</f>
        <v>0</v>
      </c>
      <c r="K131" s="120">
        <f>IF('NZS O&amp;G Summary'!$L$90="Y",1,IF('NZS O&amp;G Summary'!$L$90="n",0,IF('NZS O&amp;G Summary'!$L$90="Under development","Under development",IF('NZS O&amp;G Summary'!$L$90="Not applicable", "Not Applicable"))))</f>
        <v>1</v>
      </c>
      <c r="L131" s="120">
        <f>IF('NZS O&amp;G Summary'!$M$90="Y",1,IF('NZS O&amp;G Summary'!$M$90="N",0,IF('NZS O&amp;G Summary'!$M$90="Under development","Under development",IF('NZS O&amp;G Summary'!$M$90="Not applicable", "Not Applicable"))))</f>
        <v>0</v>
      </c>
      <c r="M131" s="120">
        <f>IF('NZS O&amp;G Summary'!$N$90="Y",1,IF('NZS O&amp;G Summary'!$N$90="n",0,IF('NZS O&amp;G Summary'!$N$90="Under development","Under development",IF('NZS O&amp;G Summary'!$N$90="Not applicable", "Not Applicable"))))</f>
        <v>0</v>
      </c>
      <c r="N131" s="120">
        <f>IF('NZS O&amp;G Summary'!$O$90="Y",1,IF('NZS O&amp;G Summary'!$O$90="N",0,IF('NZS O&amp;G Summary'!$O$90="Under development","Under development",IF('NZS O&amp;G Summary'!$O$90="Not applicable", "Not Applicable"))))</f>
        <v>0</v>
      </c>
      <c r="O131" s="122"/>
      <c r="R131" s="50"/>
    </row>
    <row r="132" spans="2:18" s="40" customFormat="1" ht="15" customHeight="1" outlineLevel="2">
      <c r="B132" s="145" t="str">
        <f t="shared" si="27"/>
        <v>6.ii.f</v>
      </c>
      <c r="C132" s="126" t="s">
        <v>490</v>
      </c>
      <c r="D132" s="127" t="s">
        <v>46</v>
      </c>
      <c r="E132" s="120">
        <f>IF('NZS O&amp;G Summary'!$F$91="Y",1,IF('NZS O&amp;G Summary'!$F$91="n",0,IF('NZS O&amp;G Summary'!$F$91="Under development","Under development",IF('NZS O&amp;G Summary'!$F$91="Not applicable", "Not Applicable"))))</f>
        <v>1</v>
      </c>
      <c r="F132" s="120">
        <f>IF('NZS O&amp;G Summary'!$G$91="y",1,IF('NZS O&amp;G Summary'!$G$91="n",0,IF('NZS O&amp;G Summary'!$G$91="Under development","Under development",IF('NZS O&amp;G Summary'!$G$91="Not applicable", "Not Applicable"))))</f>
        <v>0</v>
      </c>
      <c r="G132" s="120">
        <f>IF('NZS O&amp;G Summary'!$H$91="y",1,IF('NZS O&amp;G Summary'!$H$91="n",0,IF('NZS O&amp;G Summary'!$H$91="Under development","Under development",IF('NZS O&amp;G Summary'!$H$91="Not applicable", "Not Applicable"))))</f>
        <v>0</v>
      </c>
      <c r="H132" s="120">
        <f>IF('NZS O&amp;G Summary'!$I$91="y",1,IF('NZS O&amp;G Summary'!$I$91="N",0,IF('NZS O&amp;G Summary'!$I$91="Under development","Under development",IF('NZS O&amp;G Summary'!$I$91="Not applicable", "Not Applicable"))))</f>
        <v>1</v>
      </c>
      <c r="I132" s="120">
        <f>IF('NZS O&amp;G Summary'!$J$91="Y",1,IF('NZS O&amp;G Summary'!$J$91="n",0,IF('NZS O&amp;G Summary'!$J$91="Under development","Under development",IF('NZS O&amp;G Summary'!$J$91="Not applicable", "Not Applicable"))))</f>
        <v>0</v>
      </c>
      <c r="J132" s="120">
        <f>IF('NZS O&amp;G Summary'!$K$91="Y",1,IF('NZS O&amp;G Summary'!$K$91="N",0,IF('NZS O&amp;G Summary'!$K$91="Under development","Under development",IF('NZS O&amp;G Summary'!$K$91="Not applicable", "Not Applicable"))))</f>
        <v>0</v>
      </c>
      <c r="K132" s="120">
        <f>IF('NZS O&amp;G Summary'!$L$91="Y",1,IF('NZS O&amp;G Summary'!$L$91="n",0,IF('NZS O&amp;G Summary'!$L$91="Under development","Under development",IF('NZS O&amp;G Summary'!$L$91="Not applicable", "Not Applicable"))))</f>
        <v>1</v>
      </c>
      <c r="L132" s="120">
        <f>IF('NZS O&amp;G Summary'!$M$91="Y",1,IF('NZS O&amp;G Summary'!$M$91="N",0,IF('NZS O&amp;G Summary'!$M$91="Under development","Under development",IF('NZS O&amp;G Summary'!$M$91="Not applicable", "Not Applicable"))))</f>
        <v>0</v>
      </c>
      <c r="M132" s="120">
        <f>IF('NZS O&amp;G Summary'!$N$91="Y",1,IF('NZS O&amp;G Summary'!$N$91="n",0,IF('NZS O&amp;G Summary'!$N$91="Under development","Under development",IF('NZS O&amp;G Summary'!$N$91="Not applicable", "Not Applicable"))))</f>
        <v>0</v>
      </c>
      <c r="N132" s="120">
        <f>IF('NZS O&amp;G Summary'!$O$91="Y",1,IF('NZS O&amp;G Summary'!$O$91="N",0,IF('NZS O&amp;G Summary'!$O$91="Under development","Under development",IF('NZS O&amp;G Summary'!$O$91="Not applicable", "Not Applicable"))))</f>
        <v>1</v>
      </c>
      <c r="O132" s="122"/>
      <c r="R132" s="50"/>
    </row>
    <row r="133" spans="2:18" s="40" customFormat="1" ht="15" customHeight="1" outlineLevel="2">
      <c r="B133" s="145" t="str">
        <f t="shared" si="27"/>
        <v>6.ii.g</v>
      </c>
      <c r="C133" s="126" t="s">
        <v>491</v>
      </c>
      <c r="D133" s="127" t="s">
        <v>46</v>
      </c>
      <c r="E133" s="120">
        <f>IF('NZS O&amp;G Summary'!$F$92="Y",1,IF('NZS O&amp;G Summary'!$F$92="n",0,IF('NZS O&amp;G Summary'!$F$92="Under development","Under development",IF('NZS O&amp;G Summary'!$F$92="Not applicable", "Not Applicable"))))</f>
        <v>0</v>
      </c>
      <c r="F133" s="120">
        <f>IF('NZS O&amp;G Summary'!$G$92="y",1,IF('NZS O&amp;G Summary'!$G$92="n",0,IF('NZS O&amp;G Summary'!$G$92="Under development","Under development",IF('NZS O&amp;G Summary'!$G$92="Not applicable", "Not Applicable"))))</f>
        <v>0</v>
      </c>
      <c r="G133" s="120">
        <f>IF('NZS O&amp;G Summary'!$H$92="y",1,IF('NZS O&amp;G Summary'!$H$92="n",0,IF('NZS O&amp;G Summary'!$H$92="Under development","Under development",IF('NZS O&amp;G Summary'!$H$92="Not applicable", "Not Applicable"))))</f>
        <v>0</v>
      </c>
      <c r="H133" s="120">
        <f>IF('NZS O&amp;G Summary'!$I$92="y",1,IF('NZS O&amp;G Summary'!$I$92="N",0,IF('NZS O&amp;G Summary'!$I$92="Under development","Under development",IF('NZS O&amp;G Summary'!$I$92="Not applicable", "Not Applicable"))))</f>
        <v>0</v>
      </c>
      <c r="I133" s="120">
        <f>IF('NZS O&amp;G Summary'!$J$92="Y",1,IF('NZS O&amp;G Summary'!$J$92="n",0,IF('NZS O&amp;G Summary'!$J$92="Under development","Under development",IF('NZS O&amp;G Summary'!$J$92="Not applicable", "Not Applicable"))))</f>
        <v>0</v>
      </c>
      <c r="J133" s="120">
        <f>IF('NZS O&amp;G Summary'!$K$92="Y",1,IF('NZS O&amp;G Summary'!$K$92="N",0,IF('NZS O&amp;G Summary'!$K$92="Under development","Under development",IF('NZS O&amp;G Summary'!$K$92="Not applicable", "Not Applicable"))))</f>
        <v>0</v>
      </c>
      <c r="K133" s="120">
        <f>IF('NZS O&amp;G Summary'!$L$92="Y",1,IF('NZS O&amp;G Summary'!$L$92="n",0,IF('NZS O&amp;G Summary'!$L$92="Under development","Under development",IF('NZS O&amp;G Summary'!$L$92="Not applicable", "Not Applicable"))))</f>
        <v>0</v>
      </c>
      <c r="L133" s="120">
        <f>IF('NZS O&amp;G Summary'!$M$92="Y",1,IF('NZS O&amp;G Summary'!$M$92="N",0,IF('NZS O&amp;G Summary'!$M$92="Under development","Under development",IF('NZS O&amp;G Summary'!$M$92="Not applicable", "Not Applicable"))))</f>
        <v>0</v>
      </c>
      <c r="M133" s="120">
        <f>IF('NZS O&amp;G Summary'!$N$92="Y",1,IF('NZS O&amp;G Summary'!$N$92="n",0,IF('NZS O&amp;G Summary'!$N$92="Under development","Under development",IF('NZS O&amp;G Summary'!$N$92="Not applicable", "Not Applicable"))))</f>
        <v>0</v>
      </c>
      <c r="N133" s="120">
        <f>IF('NZS O&amp;G Summary'!$O$92="Y",1,IF('NZS O&amp;G Summary'!$O$92="N",0,IF('NZS O&amp;G Summary'!$O$92="Under development","Under development",IF('NZS O&amp;G Summary'!$O$92="Not applicable", "Not Applicable"))))</f>
        <v>0</v>
      </c>
      <c r="O133" s="122"/>
      <c r="R133" s="50"/>
    </row>
    <row r="134" spans="2:18" s="40" customFormat="1" ht="15" customHeight="1" outlineLevel="2">
      <c r="B134" s="145" t="str">
        <f t="shared" si="27"/>
        <v>6.ii.h</v>
      </c>
      <c r="C134" s="126" t="s">
        <v>492</v>
      </c>
      <c r="D134" s="127" t="s">
        <v>46</v>
      </c>
      <c r="E134" s="120">
        <f>IF('NZS O&amp;G Summary'!$F$93="Y",1,IF('NZS O&amp;G Summary'!$F$93="n",0,IF('NZS O&amp;G Summary'!$F$93="Under development","Under development",IF('NZS O&amp;G Summary'!$F$93="Not applicable", "Not Applicable"))))</f>
        <v>1</v>
      </c>
      <c r="F134" s="120">
        <f>IF('NZS O&amp;G Summary'!$G$93="y",1,IF('NZS O&amp;G Summary'!$G$93="n",0,IF('NZS O&amp;G Summary'!$G$93="Under development","Under development",IF('NZS O&amp;G Summary'!$G$93="Not applicable", "Not Applicable"))))</f>
        <v>1</v>
      </c>
      <c r="G134" s="120">
        <f>IF('NZS O&amp;G Summary'!$H$93="y",1,IF('NZS O&amp;G Summary'!$H$93="n",0,IF('NZS O&amp;G Summary'!$H$93="Under development","Under development",IF('NZS O&amp;G Summary'!$H$93="Not applicable", "Not Applicable"))))</f>
        <v>0</v>
      </c>
      <c r="H134" s="120">
        <f>IF('NZS O&amp;G Summary'!$I$93="y",1,IF('NZS O&amp;G Summary'!$I$93="N",0,IF('NZS O&amp;G Summary'!$I$93="Under development","Under development",IF('NZS O&amp;G Summary'!$I$93="Not applicable", "Not Applicable"))))</f>
        <v>1</v>
      </c>
      <c r="I134" s="120">
        <f>IF('NZS O&amp;G Summary'!$J$93="Y",1,IF('NZS O&amp;G Summary'!$J$93="n",0,IF('NZS O&amp;G Summary'!$J$93="Under development","Under development",IF('NZS O&amp;G Summary'!$J$93="Not applicable", "Not Applicable"))))</f>
        <v>0</v>
      </c>
      <c r="J134" s="120">
        <f>IF('NZS O&amp;G Summary'!$K$93="Y",1,IF('NZS O&amp;G Summary'!$K$93="N",0,IF('NZS O&amp;G Summary'!$K$93="Under development","Under development",IF('NZS O&amp;G Summary'!$K$93="Not applicable", "Not Applicable"))))</f>
        <v>0</v>
      </c>
      <c r="K134" s="120">
        <f>IF('NZS O&amp;G Summary'!$L$93="Y",1,IF('NZS O&amp;G Summary'!$L$93="n",0,IF('NZS O&amp;G Summary'!$L$93="Under development","Under development",IF('NZS O&amp;G Summary'!$L$93="Not applicable", "Not Applicable"))))</f>
        <v>1</v>
      </c>
      <c r="L134" s="120">
        <f>IF('NZS O&amp;G Summary'!$M$93="Y",1,IF('NZS O&amp;G Summary'!$M$93="N",0,IF('NZS O&amp;G Summary'!$M$93="Under development","Under development",IF('NZS O&amp;G Summary'!$M$93="Not applicable", "Not Applicable"))))</f>
        <v>0</v>
      </c>
      <c r="M134" s="120">
        <f>IF('NZS O&amp;G Summary'!$N$93="Y",1,IF('NZS O&amp;G Summary'!$N$93="n",0,IF('NZS O&amp;G Summary'!$N$93="Under development","Under development",IF('NZS O&amp;G Summary'!$N$93="Not applicable", "Not Applicable"))))</f>
        <v>0</v>
      </c>
      <c r="N134" s="120">
        <f>IF('NZS O&amp;G Summary'!$O$93="Y",1,IF('NZS O&amp;G Summary'!$O$93="N",0,IF('NZS O&amp;G Summary'!$O$93="Under development","Under development",IF('NZS O&amp;G Summary'!$O$93="Not applicable", "Not Applicable"))))</f>
        <v>1</v>
      </c>
      <c r="O134" s="122"/>
      <c r="R134" s="50"/>
    </row>
    <row r="135" spans="2:18" s="40" customFormat="1" ht="15" customHeight="1" outlineLevel="2">
      <c r="B135" s="145" t="str">
        <f t="shared" si="27"/>
        <v>6.ii.i</v>
      </c>
      <c r="C135" s="126" t="s">
        <v>493</v>
      </c>
      <c r="D135" s="127" t="s">
        <v>46</v>
      </c>
      <c r="E135" s="120" t="str">
        <f>IF('NZS O&amp;G Summary'!$F$94="Y",1,IF('NZS O&amp;G Summary'!$F$94="n",0,IF('NZS O&amp;G Summary'!$F$94="Under development","Under development",IF('NZS O&amp;G Summary'!$F$94="Not applicable", "Not Applicable"))))</f>
        <v>Under development</v>
      </c>
      <c r="F135" s="120" t="str">
        <f>IF('NZS O&amp;G Summary'!$G$94="y",1,IF('NZS O&amp;G Summary'!$G$94="n",0,IF('NZS O&amp;G Summary'!$G$94="Under development","Under development",IF('NZS O&amp;G Summary'!$G$94="Not applicable", "Not Applicable"))))</f>
        <v>Under development</v>
      </c>
      <c r="G135" s="120" t="str">
        <f>IF('NZS O&amp;G Summary'!$H$94="y",1,IF('NZS O&amp;G Summary'!$H$94="n",0,IF('NZS O&amp;G Summary'!$H$94="Under development","Under development",IF('NZS O&amp;G Summary'!$H$94="Not applicable", "Not Applicable"))))</f>
        <v>Under development</v>
      </c>
      <c r="H135" s="120" t="str">
        <f>IF('NZS O&amp;G Summary'!$I$94="y",1,IF('NZS O&amp;G Summary'!$I$94="N",0,IF('NZS O&amp;G Summary'!$I$94="Under development","Under development",IF('NZS O&amp;G Summary'!$I$94="Not applicable", "Not Applicable"))))</f>
        <v>Under development</v>
      </c>
      <c r="I135" s="120" t="str">
        <f>IF('NZS O&amp;G Summary'!$J$94="Y",1,IF('NZS O&amp;G Summary'!$J$94="n",0,IF('NZS O&amp;G Summary'!$J$94="Under development","Under development",IF('NZS O&amp;G Summary'!$J$94="Not applicable", "Not Applicable"))))</f>
        <v>Under development</v>
      </c>
      <c r="J135" s="120" t="str">
        <f>IF('NZS O&amp;G Summary'!$K$94="Y",1,IF('NZS O&amp;G Summary'!$K$94="N",0,IF('NZS O&amp;G Summary'!$K$94="Under development","Under development",IF('NZS O&amp;G Summary'!$K$94="Not applicable", "Not Applicable"))))</f>
        <v>Under development</v>
      </c>
      <c r="K135" s="120" t="str">
        <f>IF('NZS O&amp;G Summary'!$L$94="Y",1,IF('NZS O&amp;G Summary'!$L$94="n",0,IF('NZS O&amp;G Summary'!$L$94="Under development","Under development",IF('NZS O&amp;G Summary'!$L$94="Not applicable", "Not Applicable"))))</f>
        <v>Under development</v>
      </c>
      <c r="L135" s="120" t="str">
        <f>IF('NZS O&amp;G Summary'!$M$94="Y",1,IF('NZS O&amp;G Summary'!$M$94="N",0,IF('NZS O&amp;G Summary'!$M$94="Under development","Under development",IF('NZS O&amp;G Summary'!$M$94="Not applicable", "Not Applicable"))))</f>
        <v>Under development</v>
      </c>
      <c r="M135" s="120" t="str">
        <f>IF('NZS O&amp;G Summary'!$N$94="Y",1,IF('NZS O&amp;G Summary'!$N$94="n",0,IF('NZS O&amp;G Summary'!$N$94="Under development","Under development",IF('NZS O&amp;G Summary'!$N$94="Not applicable", "Not Applicable"))))</f>
        <v>Under development</v>
      </c>
      <c r="N135" s="120" t="str">
        <f>IF('NZS O&amp;G Summary'!$O$94="Y",1,IF('NZS O&amp;G Summary'!$O$94="N",0,IF('NZS O&amp;G Summary'!$O$94="Under development","Under development",IF('NZS O&amp;G Summary'!$O$94="Not applicable", "Not Applicable"))))</f>
        <v>Under development</v>
      </c>
      <c r="O135" s="122"/>
      <c r="R135" s="50"/>
    </row>
    <row r="136" spans="2:18" s="40" customFormat="1" ht="15" customHeight="1" outlineLevel="1">
      <c r="B136" s="145" t="str">
        <f t="shared" si="27"/>
        <v>6.iii</v>
      </c>
      <c r="C136" s="135" t="s">
        <v>494</v>
      </c>
      <c r="D136" s="134" t="s">
        <v>81</v>
      </c>
      <c r="E136" s="120">
        <f>AVERAGE(E137:E138)</f>
        <v>0</v>
      </c>
      <c r="F136" s="120">
        <f t="shared" ref="F136:N136" si="28">AVERAGE(F137:F138)</f>
        <v>0</v>
      </c>
      <c r="G136" s="120">
        <f t="shared" si="28"/>
        <v>0</v>
      </c>
      <c r="H136" s="120">
        <f t="shared" si="28"/>
        <v>0</v>
      </c>
      <c r="I136" s="120">
        <f t="shared" si="28"/>
        <v>0</v>
      </c>
      <c r="J136" s="120">
        <f t="shared" si="28"/>
        <v>0</v>
      </c>
      <c r="K136" s="120">
        <f t="shared" si="28"/>
        <v>0</v>
      </c>
      <c r="L136" s="120">
        <f t="shared" si="28"/>
        <v>0</v>
      </c>
      <c r="M136" s="120">
        <f t="shared" si="28"/>
        <v>0</v>
      </c>
      <c r="N136" s="120">
        <f t="shared" si="28"/>
        <v>0.5</v>
      </c>
      <c r="O136" s="122"/>
      <c r="R136" s="50"/>
    </row>
    <row r="137" spans="2:18" s="40" customFormat="1" ht="15" customHeight="1" outlineLevel="2">
      <c r="B137" s="145" t="str">
        <f t="shared" si="27"/>
        <v>6.iii.a</v>
      </c>
      <c r="C137" s="126" t="s">
        <v>495</v>
      </c>
      <c r="D137" s="127" t="s">
        <v>44</v>
      </c>
      <c r="E137" s="120">
        <f>IF('NZS O&amp;G Summary'!$F$96="Y",1,IF('NZS O&amp;G Summary'!$F$96="n",0,IF('NZS O&amp;G Summary'!$F$96="Under development","Under development",IF('NZS O&amp;G Summary'!$F$96="Not applicable", "Not Applicable"))))</f>
        <v>0</v>
      </c>
      <c r="F137" s="120">
        <f>IF('NZS O&amp;G Summary'!$G$96="y",1,IF('NZS O&amp;G Summary'!$G$96="n",0,IF('NZS O&amp;G Summary'!$G$96="Under development","Under development",IF('NZS O&amp;G Summary'!$G$96="Not applicable", "Not Applicable"))))</f>
        <v>0</v>
      </c>
      <c r="G137" s="120">
        <f>IF('NZS O&amp;G Summary'!$H$96="y",1,IF('NZS O&amp;G Summary'!$H$96="n",0,IF('NZS O&amp;G Summary'!$H$96="Under development","Under development",IF('NZS O&amp;G Summary'!$H$96="Not applicable", "Not Applicable"))))</f>
        <v>0</v>
      </c>
      <c r="H137" s="120">
        <f>IF('NZS O&amp;G Summary'!$I$96="y",1,IF('NZS O&amp;G Summary'!$I$96="N",0,IF('NZS O&amp;G Summary'!$I$96="Under development","Under development",IF('NZS O&amp;G Summary'!$I$96="Not applicable", "Not Applicable"))))</f>
        <v>0</v>
      </c>
      <c r="I137" s="120">
        <f>IF('NZS O&amp;G Summary'!$J$96="Y",1,IF('NZS O&amp;G Summary'!$J$96="n",0,IF('NZS O&amp;G Summary'!$J$96="Under development","Under development",IF('NZS O&amp;G Summary'!$J$96="Not applicable", "Not Applicable"))))</f>
        <v>0</v>
      </c>
      <c r="J137" s="120">
        <f>IF('NZS O&amp;G Summary'!$K$96="Y",1,IF('NZS O&amp;G Summary'!$K$96="N",0,IF('NZS O&amp;G Summary'!$K$96="Under development","Under development",IF('NZS O&amp;G Summary'!$K$96="Not applicable", "Not Applicable"))))</f>
        <v>0</v>
      </c>
      <c r="K137" s="120">
        <f>IF('NZS O&amp;G Summary'!$L$96="Y",1,IF('NZS O&amp;G Summary'!$L$96="n",0,IF('NZS O&amp;G Summary'!$L$96="Under development","Under development",IF('NZS O&amp;G Summary'!$L$96="Not applicable", "Not Applicable"))))</f>
        <v>0</v>
      </c>
      <c r="L137" s="120">
        <f>IF('NZS O&amp;G Summary'!$M$96="Y",1,IF('NZS O&amp;G Summary'!$M$96="N",0,IF('NZS O&amp;G Summary'!$M$96="Under development","Under development",IF('NZS O&amp;G Summary'!$M$96="Not applicable", "Not Applicable"))))</f>
        <v>0</v>
      </c>
      <c r="M137" s="120">
        <f>IF('NZS O&amp;G Summary'!$N$96="Y",1,IF('NZS O&amp;G Summary'!$N$96="n",0,IF('NZS O&amp;G Summary'!$N$96="Under development","Under development",IF('NZS O&amp;G Summary'!$N$96="Not applicable", "Not Applicable"))))</f>
        <v>0</v>
      </c>
      <c r="N137" s="120">
        <f>IF('NZS O&amp;G Summary'!$O$96="Y",1,IF('NZS O&amp;G Summary'!$O$96="N",0,IF('NZS O&amp;G Summary'!$O$96="Under development","Under development",IF('NZS O&amp;G Summary'!$O$96="Not applicable", "Not Applicable"))))</f>
        <v>0</v>
      </c>
      <c r="O137" s="122"/>
      <c r="R137" s="50"/>
    </row>
    <row r="138" spans="2:18" s="40" customFormat="1" ht="15" customHeight="1" outlineLevel="2">
      <c r="B138" s="145" t="str">
        <f t="shared" si="27"/>
        <v>6.iii.b</v>
      </c>
      <c r="C138" s="126" t="s">
        <v>496</v>
      </c>
      <c r="D138" s="127" t="s">
        <v>44</v>
      </c>
      <c r="E138" s="120">
        <f>IF('NZS O&amp;G Summary'!$F$97="Y",1,IF('NZS O&amp;G Summary'!$F$97="n",0,IF('NZS O&amp;G Summary'!$F$97="Under development","Under development",IF('NZS O&amp;G Summary'!$F$97="Not applicable", "Not Applicable"))))</f>
        <v>0</v>
      </c>
      <c r="F138" s="120">
        <f>IF('NZS O&amp;G Summary'!$G$97="y",1,IF('NZS O&amp;G Summary'!$G$97="n",0,IF('NZS O&amp;G Summary'!$G$97="Under development","Under development",IF('NZS O&amp;G Summary'!$G$97="Not applicable", "Not Applicable"))))</f>
        <v>0</v>
      </c>
      <c r="G138" s="120">
        <f>IF('NZS O&amp;G Summary'!$H$97="y",1,IF('NZS O&amp;G Summary'!$H$97="n",0,IF('NZS O&amp;G Summary'!$H$97="Under development","Under development",IF('NZS O&amp;G Summary'!$H$97="Not applicable", "Not Applicable"))))</f>
        <v>0</v>
      </c>
      <c r="H138" s="120">
        <f>IF('NZS O&amp;G Summary'!$I$97="y",1,IF('NZS O&amp;G Summary'!$I$97="N",0,IF('NZS O&amp;G Summary'!$I$97="Under development","Under development",IF('NZS O&amp;G Summary'!$I$97="Not applicable", "Not Applicable"))))</f>
        <v>0</v>
      </c>
      <c r="I138" s="120">
        <f>IF('NZS O&amp;G Summary'!$J$97="Y",1,IF('NZS O&amp;G Summary'!$J$97="n",0,IF('NZS O&amp;G Summary'!$J$97="Under development","Under development",IF('NZS O&amp;G Summary'!$J$97="Not applicable", "Not Applicable"))))</f>
        <v>0</v>
      </c>
      <c r="J138" s="120">
        <f>IF('NZS O&amp;G Summary'!$K$97="Y",1,IF('NZS O&amp;G Summary'!$K$97="N",0,IF('NZS O&amp;G Summary'!$K$97="Under development","Under development",IF('NZS O&amp;G Summary'!$K$97="Not applicable", "Not Applicable"))))</f>
        <v>0</v>
      </c>
      <c r="K138" s="120">
        <f>IF('NZS O&amp;G Summary'!$L$97="Y",1,IF('NZS O&amp;G Summary'!$L$97="n",0,IF('NZS O&amp;G Summary'!$L$97="Under development","Under development",IF('NZS O&amp;G Summary'!$L$97="Not applicable", "Not Applicable"))))</f>
        <v>0</v>
      </c>
      <c r="L138" s="120">
        <f>IF('NZS O&amp;G Summary'!$M$97="Y",1,IF('NZS O&amp;G Summary'!$M$97="N",0,IF('NZS O&amp;G Summary'!$M$97="Under development","Under development",IF('NZS O&amp;G Summary'!$M$97="Not applicable", "Not Applicable"))))</f>
        <v>0</v>
      </c>
      <c r="M138" s="120">
        <f>IF('NZS O&amp;G Summary'!$N$97="Y",1,IF('NZS O&amp;G Summary'!$N$97="n",0,IF('NZS O&amp;G Summary'!$N$97="Under development","Under development",IF('NZS O&amp;G Summary'!$N$97="Not applicable", "Not Applicable"))))</f>
        <v>0</v>
      </c>
      <c r="N138" s="120">
        <f>IF('NZS O&amp;G Summary'!$O$97="Y",1,IF('NZS O&amp;G Summary'!$O$97="N",0,IF('NZS O&amp;G Summary'!$O$97="Under development","Under development",IF('NZS O&amp;G Summary'!$O$97="Not applicable", "Not Applicable"))))</f>
        <v>1</v>
      </c>
      <c r="O138" s="122"/>
      <c r="R138" s="50"/>
    </row>
    <row r="139" spans="2:18" s="40" customFormat="1" ht="15" customHeight="1" outlineLevel="1">
      <c r="B139" s="145"/>
      <c r="C139" s="137"/>
      <c r="D139" s="94"/>
      <c r="E139" s="120"/>
      <c r="F139" s="120"/>
      <c r="G139" s="120"/>
      <c r="H139" s="120"/>
      <c r="I139" s="120"/>
      <c r="J139" s="120"/>
      <c r="K139" s="120"/>
      <c r="L139" s="120"/>
      <c r="M139" s="120"/>
      <c r="N139" s="120"/>
      <c r="O139" s="122"/>
      <c r="R139" s="50"/>
    </row>
    <row r="140" spans="2:18" s="40" customFormat="1" ht="15" customHeight="1">
      <c r="B140" s="148"/>
      <c r="C140" s="123" t="s">
        <v>81</v>
      </c>
      <c r="D140" s="123" t="s">
        <v>81</v>
      </c>
      <c r="E140" s="94" t="s">
        <v>81</v>
      </c>
      <c r="F140" s="94" t="s">
        <v>81</v>
      </c>
      <c r="G140" s="94" t="s">
        <v>81</v>
      </c>
      <c r="H140" s="94" t="s">
        <v>81</v>
      </c>
      <c r="I140" s="94" t="s">
        <v>81</v>
      </c>
      <c r="J140" s="94" t="s">
        <v>81</v>
      </c>
      <c r="K140" s="94"/>
      <c r="L140" s="94"/>
      <c r="M140" s="94"/>
      <c r="N140" s="94"/>
      <c r="O140" s="122" t="s">
        <v>81</v>
      </c>
      <c r="R140" s="50"/>
    </row>
    <row r="141" spans="2:18" s="40" customFormat="1" ht="15" customHeight="1">
      <c r="B141" s="152" t="s">
        <v>497</v>
      </c>
      <c r="C141" s="66" t="s">
        <v>498</v>
      </c>
      <c r="D141" s="67"/>
      <c r="E141" s="68">
        <f>AVERAGE(E143,E147)</f>
        <v>0.58333333333333326</v>
      </c>
      <c r="F141" s="68">
        <f t="shared" ref="F141:N141" si="29">AVERAGE(F143,F147)</f>
        <v>0</v>
      </c>
      <c r="G141" s="68">
        <f t="shared" si="29"/>
        <v>0.16666666666666666</v>
      </c>
      <c r="H141" s="68">
        <f t="shared" si="29"/>
        <v>0.41666666666666663</v>
      </c>
      <c r="I141" s="68">
        <f t="shared" si="29"/>
        <v>0.25</v>
      </c>
      <c r="J141" s="68">
        <f t="shared" si="29"/>
        <v>0</v>
      </c>
      <c r="K141" s="68">
        <f t="shared" si="29"/>
        <v>0.58333333333333326</v>
      </c>
      <c r="L141" s="68">
        <f t="shared" si="29"/>
        <v>0.25</v>
      </c>
      <c r="M141" s="68">
        <f t="shared" si="29"/>
        <v>0</v>
      </c>
      <c r="N141" s="68">
        <f t="shared" si="29"/>
        <v>0.33333333333333331</v>
      </c>
      <c r="O141" s="70" t="s">
        <v>81</v>
      </c>
      <c r="R141" s="50"/>
    </row>
    <row r="142" spans="2:18" s="40" customFormat="1" ht="15" customHeight="1">
      <c r="B142" s="148"/>
      <c r="C142" s="50"/>
      <c r="D142" s="131"/>
      <c r="E142" s="94"/>
      <c r="F142" s="94"/>
      <c r="G142" s="94"/>
      <c r="H142" s="94"/>
      <c r="I142" s="94"/>
      <c r="J142" s="94"/>
      <c r="K142" s="94"/>
      <c r="L142" s="94"/>
      <c r="M142" s="94"/>
      <c r="N142" s="94"/>
      <c r="O142" s="122" t="s">
        <v>81</v>
      </c>
      <c r="R142" s="50"/>
    </row>
    <row r="143" spans="2:18" s="40" customFormat="1" ht="15" customHeight="1" outlineLevel="1">
      <c r="B143" s="145">
        <v>7.1</v>
      </c>
      <c r="C143" s="91" t="str">
        <f>'CA100 2023 Scores'!C46</f>
        <v>7.1: Paris-aligned climate policy engagement</v>
      </c>
      <c r="D143" s="119" t="str">
        <f>IF(ISBLANK(VLOOKUP(B143, [1]BP!$A$8:$E$191, 5, FALSE)), "", VLOOKUP(B143, [1]BP!$A$8:$E$191, 5, FALSE))</f>
        <v>Disclosure</v>
      </c>
      <c r="E143" s="120">
        <f>AVERAGE(E144:E146)</f>
        <v>0.66666666666666663</v>
      </c>
      <c r="F143" s="120">
        <f t="shared" ref="F143:N143" si="30">AVERAGE(F144:F146)</f>
        <v>0</v>
      </c>
      <c r="G143" s="120">
        <f>AVERAGE(G144:G146)</f>
        <v>0.33333333333333331</v>
      </c>
      <c r="H143" s="120">
        <f t="shared" si="30"/>
        <v>0.33333333333333331</v>
      </c>
      <c r="I143" s="120">
        <f t="shared" si="30"/>
        <v>0</v>
      </c>
      <c r="J143" s="120">
        <f t="shared" si="30"/>
        <v>0</v>
      </c>
      <c r="K143" s="120">
        <f t="shared" si="30"/>
        <v>0.66666666666666663</v>
      </c>
      <c r="L143" s="120">
        <f t="shared" si="30"/>
        <v>0</v>
      </c>
      <c r="M143" s="120">
        <f t="shared" si="30"/>
        <v>0</v>
      </c>
      <c r="N143" s="120">
        <f t="shared" si="30"/>
        <v>0.66666666666666663</v>
      </c>
      <c r="O143" s="122" t="s">
        <v>81</v>
      </c>
      <c r="R143" s="50"/>
    </row>
    <row r="144" spans="2:18" s="40" customFormat="1" ht="15" customHeight="1" outlineLevel="2">
      <c r="B144" s="145" t="str">
        <f t="shared" ref="B144:B149" si="31">LEFT(C144,FIND(":",C144)-1)</f>
        <v>7.1.a</v>
      </c>
      <c r="C144" s="93" t="str">
        <f>'CA100 2023 Scores'!C47</f>
        <v xml:space="preserve">7.1.a: Commitment to Paris-aligned lobbying  </v>
      </c>
      <c r="D144" s="119" t="str">
        <f>IF(ISBLANK(VLOOKUP(B144, [1]BP!$A$8:$E$191, 5, FALSE)), "", VLOOKUP(B144, [1]BP!$A$8:$E$191, 5, FALSE))</f>
        <v>Disclosure</v>
      </c>
      <c r="E144" s="120">
        <f>IF('CA100 2023 Scores'!$E$47="y",1,IF('CA100 2023 Scores'!$E$47="N",0,IF('CA100 2023 Scores'!$E$47="Partial",0.5,IF('CA100 2023 Scores'!$E$47="Not assessed","Under development"))))</f>
        <v>1</v>
      </c>
      <c r="F144" s="120">
        <f>IF('CA100 2023 Scores'!$F$47="y",1,IF('CA100 2023 Scores'!$F$47="N",0,IF('CA100 2023 Scores'!$F$47="Partial",0.5,IF('CA100 2023 Scores'!$F$47="Not assessed","Under development"))))</f>
        <v>0</v>
      </c>
      <c r="G144" s="120">
        <f>IF('CA100 2023 Scores'!$G$47="y",1,IF('CA100 2023 Scores'!$G$47="N",0,IF('CA100 2023 Scores'!$G$47="Partial",0.5,IF('CA100 2023 Scores'!$G$47="Not assessed","Under development"))))</f>
        <v>1</v>
      </c>
      <c r="H144" s="120">
        <f>IF('CA100 2023 Scores'!$H$47="y",1,IF('CA100 2023 Scores'!$H$47="N",0,IF('CA100 2023 Scores'!$H$47="Partial",0.5,IF('CA100 2023 Scores'!$H$47="Not assessed","Under development"))))</f>
        <v>1</v>
      </c>
      <c r="I144" s="120">
        <f>IF('CA100 2023 Scores'!$I$47="y",1,IF('CA100 2023 Scores'!$I$47="N",0,IF('CA100 2023 Scores'!$I$47="Partial",0.5,IF('CA100 2023 Scores'!$I$47="Not assessed","Under development"))))</f>
        <v>0</v>
      </c>
      <c r="J144" s="120">
        <f>IF('CA100 2023 Scores'!$J$47="y",1,IF('CA100 2023 Scores'!$J$47="N",0,IF('CA100 2023 Scores'!$J$47="Partial",0.5,IF('CA100 2023 Scores'!$J$47="Not assessed","Under development"))))</f>
        <v>0</v>
      </c>
      <c r="K144" s="120">
        <f>IF('CA100 2023 Scores'!$K$47="y",1,IF('CA100 2023 Scores'!$K$47="N",0,IF('CA100 2023 Scores'!$K$47="Partial",0.5,IF('CA100 2023 Scores'!$K$47="Not assessed","Under development"))))</f>
        <v>1</v>
      </c>
      <c r="L144" s="120">
        <f>IF('CA100 2023 Scores'!$L$47="y",1,IF('CA100 2023 Scores'!$L$47="N",0,IF('CA100 2023 Scores'!$L$47="Partial",0.5,IF('CA100 2023 Scores'!$L$47="Not assessed","Under development"))))</f>
        <v>0</v>
      </c>
      <c r="M144" s="120">
        <f>IF('CA100 2023 Scores'!$M$47="y",1,IF('CA100 2023 Scores'!$M$47="N",0,IF('CA100 2023 Scores'!$M$47="Partial",0.5,IF('CA100 2023 Scores'!$M$47="Not assessed","Under development"))))</f>
        <v>0</v>
      </c>
      <c r="N144" s="120">
        <f>IF('CA100 2023 Scores'!$N$47="y",1,IF('CA100 2023 Scores'!$N$47="N",0,IF('CA100 2023 Scores'!$N$47="Partial",0.5,IF('CA100 2023 Scores'!$N$47="Not assessed","Under development"))))</f>
        <v>1</v>
      </c>
      <c r="O144" s="122" t="s">
        <v>81</v>
      </c>
      <c r="R144" s="50"/>
    </row>
    <row r="145" spans="2:18" s="40" customFormat="1" ht="15" customHeight="1" outlineLevel="2">
      <c r="B145" s="145" t="str">
        <f t="shared" si="31"/>
        <v>7.1.b</v>
      </c>
      <c r="C145" s="93" t="str">
        <f>'CA100 2023 Scores'!C48</f>
        <v>7.1.b: Commitment to advocate for Paris-aligned lobbying within relevant trade associations</v>
      </c>
      <c r="D145" s="119" t="str">
        <f>IF(ISBLANK(VLOOKUP(B145, [1]BP!$A$8:$E$191, 5, FALSE)), "", VLOOKUP(B145, [1]BP!$A$8:$E$191, 5, FALSE))</f>
        <v>Disclosure</v>
      </c>
      <c r="E145" s="120">
        <f>IF('CA100 2023 Scores'!$E$48="y",1,IF('CA100 2023 Scores'!$E$48="N",0,IF('CA100 2023 Scores'!$E$48="Partial",0.5,IF('CA100 2023 Scores'!$E$48="Not assessed","Under development"))))</f>
        <v>1</v>
      </c>
      <c r="F145" s="120">
        <f>IF('CA100 2023 Scores'!$F$48="y",1,IF('CA100 2023 Scores'!$F$48="N",0,IF('CA100 2023 Scores'!$F$48="Partial",0.5,IF('CA100 2023 Scores'!$F$48="Not assessed","Under development"))))</f>
        <v>0</v>
      </c>
      <c r="G145" s="120">
        <f>IF('CA100 2023 Scores'!$G$48="y",1,IF('CA100 2023 Scores'!$G$48="N",0,IF('CA100 2023 Scores'!$G$48="Partial",0.5,IF('CA100 2023 Scores'!$G$48="Not assessed","Under development"))))</f>
        <v>0</v>
      </c>
      <c r="H145" s="120">
        <f>IF('CA100 2023 Scores'!$H$48="y",1,IF('CA100 2023 Scores'!$H$48="N",0,IF('CA100 2023 Scores'!$H$48="Partial",0.5,IF('CA100 2023 Scores'!$H$48="Not assessed","Under development"))))</f>
        <v>0</v>
      </c>
      <c r="I145" s="120">
        <f>IF('CA100 2023 Scores'!$I$48="y",1,IF('CA100 2023 Scores'!$I$48="N",0,IF('CA100 2023 Scores'!$I$48="Partial",0.5,IF('CA100 2023 Scores'!$I$48="Not assessed","Under development"))))</f>
        <v>0</v>
      </c>
      <c r="J145" s="120">
        <f>IF('CA100 2023 Scores'!$J$48="y",1,IF('CA100 2023 Scores'!$J$48="N",0,IF('CA100 2023 Scores'!$J$48="Partial",0.5,IF('CA100 2023 Scores'!$J$48="Not assessed","Under development"))))</f>
        <v>0</v>
      </c>
      <c r="K145" s="120">
        <f>IF('CA100 2023 Scores'!$K$48="y",1,IF('CA100 2023 Scores'!$K$48="N",0,IF('CA100 2023 Scores'!$K$48="Partial",0.5,IF('CA100 2023 Scores'!$K$48="Not assessed","Under development"))))</f>
        <v>1</v>
      </c>
      <c r="L145" s="120">
        <f>IF('CA100 2023 Scores'!$L$48="y",1,IF('CA100 2023 Scores'!$L$48="N",0,IF('CA100 2023 Scores'!$L$48="Partial",0.5,IF('CA100 2023 Scores'!$L$48="Not assessed","Under development"))))</f>
        <v>0</v>
      </c>
      <c r="M145" s="120">
        <f>IF('CA100 2023 Scores'!$M$48="y",1,IF('CA100 2023 Scores'!$M$48="N",0,IF('CA100 2023 Scores'!$M$48="Partial",0.5,IF('CA100 2023 Scores'!$M$48="Not assessed","Under development"))))</f>
        <v>0</v>
      </c>
      <c r="N145" s="120">
        <f>IF('CA100 2023 Scores'!$N$48="y",1,IF('CA100 2023 Scores'!$N$48="N",0,IF('CA100 2023 Scores'!$N$48="Partial",0.5,IF('CA100 2023 Scores'!$N$48="Not assessed","Under development"))))</f>
        <v>1</v>
      </c>
      <c r="O145" s="122" t="s">
        <v>81</v>
      </c>
      <c r="R145" s="50"/>
    </row>
    <row r="146" spans="2:18" s="40" customFormat="1" ht="15" customHeight="1" outlineLevel="2">
      <c r="B146" s="145" t="str">
        <f t="shared" si="31"/>
        <v>7.1.c</v>
      </c>
      <c r="C146" s="93" t="str">
        <f>'CA100 2023 Scores'!C49</f>
        <v>7.1.c: Commitment to 1.5°C-aligned lobbying</v>
      </c>
      <c r="D146" s="119" t="str">
        <f>IF(ISBLANK(VLOOKUP(B146, [1]BP!$A$8:$E$191, 5, FALSE)), "", VLOOKUP(B146, [1]BP!$A$8:$E$191, 5, FALSE))</f>
        <v>Disclosure</v>
      </c>
      <c r="E146" s="120">
        <f>IF('CA100 2023 Scores'!$E$49="y",1,IF('CA100 2023 Scores'!$E$49="N",0,IF('CA100 2023 Scores'!$E$49="Partial",0.5,IF('CA100 2023 Scores'!$E$49="Not assessed","Under development"))))</f>
        <v>0</v>
      </c>
      <c r="F146" s="120">
        <f>IF('CA100 2023 Scores'!$F$49="y",1,IF('CA100 2023 Scores'!$F$49="N",0,IF('CA100 2023 Scores'!$F$49="Partial",0.5,IF('CA100 2023 Scores'!$F$49="Not assessed","Under development"))))</f>
        <v>0</v>
      </c>
      <c r="G146" s="120">
        <f>IF('CA100 2023 Scores'!$G$49="y",1,IF('CA100 2023 Scores'!$G$49="N",0,IF('CA100 2023 Scores'!$G$49="Partial",0.5,IF('CA100 2023 Scores'!$G$49="Not assessed","Under development"))))</f>
        <v>0</v>
      </c>
      <c r="H146" s="120">
        <f>IF('CA100 2023 Scores'!$H$49="y",1,IF('CA100 2023 Scores'!$H$49="N",0,IF('CA100 2023 Scores'!$H$49="Partial",0.5,IF('CA100 2023 Scores'!$H$49="Not assessed","Under development"))))</f>
        <v>0</v>
      </c>
      <c r="I146" s="120">
        <f>IF('CA100 2023 Scores'!$I$49="y",1,IF('CA100 2023 Scores'!$I$49="N",0,IF('CA100 2023 Scores'!$I$49="Partial",0.5,IF('CA100 2023 Scores'!$I$49="Not assessed","Under development"))))</f>
        <v>0</v>
      </c>
      <c r="J146" s="120">
        <f>IF('CA100 2023 Scores'!$J$49="y",1,IF('CA100 2023 Scores'!$J$49="N",0,IF('CA100 2023 Scores'!$J$49="Partial",0.5,IF('CA100 2023 Scores'!$J$49="Not assessed","Under development"))))</f>
        <v>0</v>
      </c>
      <c r="K146" s="120">
        <f>IF('CA100 2023 Scores'!$K$49="y",1,IF('CA100 2023 Scores'!$K$49="N",0,IF('CA100 2023 Scores'!$K$49="Partial",0.5,IF('CA100 2023 Scores'!$K$49="Not assessed","Under development"))))</f>
        <v>0</v>
      </c>
      <c r="L146" s="120">
        <f>IF('CA100 2023 Scores'!$L$49="y",1,IF('CA100 2023 Scores'!$L$49="N",0,IF('CA100 2023 Scores'!$L$49="Partial",0.5,IF('CA100 2023 Scores'!$L$49="Not assessed","Under development"))))</f>
        <v>0</v>
      </c>
      <c r="M146" s="120">
        <f>IF('CA100 2023 Scores'!$M$49="y",1,IF('CA100 2023 Scores'!$M$49="N",0,IF('CA100 2023 Scores'!$M$49="Partial",0.5,IF('CA100 2023 Scores'!$M$49="Not assessed","Under development"))))</f>
        <v>0</v>
      </c>
      <c r="N146" s="120">
        <f>IF('CA100 2023 Scores'!$N$49="y",1,IF('CA100 2023 Scores'!$N$49="N",0,IF('CA100 2023 Scores'!$N$49="Partial",0.5,IF('CA100 2023 Scores'!$N$49="Not assessed","Under development"))))</f>
        <v>0</v>
      </c>
      <c r="O146" s="122"/>
      <c r="R146" s="50"/>
    </row>
    <row r="147" spans="2:18" s="40" customFormat="1" ht="15" customHeight="1" outlineLevel="1">
      <c r="B147" s="145">
        <v>7.2</v>
      </c>
      <c r="C147" s="91" t="str">
        <f>'CA100 2023 Scores'!C50</f>
        <v>7.2: Review of climate policy engagement positions and activities</v>
      </c>
      <c r="D147" s="119" t="str">
        <f>IF(ISBLANK(VLOOKUP(B147, [1]BP!$A$8:$E$191, 5, FALSE)), "", VLOOKUP(B147, [1]BP!$A$8:$E$191, 5, FALSE))</f>
        <v>Disclosure</v>
      </c>
      <c r="E147" s="120">
        <f>AVERAGE(E148:E149)</f>
        <v>0.5</v>
      </c>
      <c r="F147" s="120">
        <f t="shared" ref="F147:N147" si="32">AVERAGE(F148:F149)</f>
        <v>0</v>
      </c>
      <c r="G147" s="120">
        <f t="shared" si="32"/>
        <v>0</v>
      </c>
      <c r="H147" s="120">
        <f t="shared" si="32"/>
        <v>0.5</v>
      </c>
      <c r="I147" s="120">
        <f t="shared" si="32"/>
        <v>0.5</v>
      </c>
      <c r="J147" s="120">
        <f t="shared" si="32"/>
        <v>0</v>
      </c>
      <c r="K147" s="120">
        <f t="shared" si="32"/>
        <v>0.5</v>
      </c>
      <c r="L147" s="120">
        <f t="shared" si="32"/>
        <v>0.5</v>
      </c>
      <c r="M147" s="120">
        <f t="shared" si="32"/>
        <v>0</v>
      </c>
      <c r="N147" s="120">
        <f t="shared" si="32"/>
        <v>0</v>
      </c>
      <c r="O147" s="122"/>
      <c r="R147" s="50"/>
    </row>
    <row r="148" spans="2:18" s="40" customFormat="1" ht="15" customHeight="1" outlineLevel="2">
      <c r="B148" s="145" t="str">
        <f t="shared" si="31"/>
        <v>7.2.a</v>
      </c>
      <c r="C148" s="93" t="str">
        <f>'CA100 2023 Scores'!C51</f>
        <v>7.2.a: Published review of own policy positions' Paris-alignment and advocacy</v>
      </c>
      <c r="D148" s="119" t="str">
        <f>IF(ISBLANK(VLOOKUP(B148, [1]BP!$A$8:$E$191, 5, FALSE)), "", VLOOKUP(B148, [1]BP!$A$8:$E$191, 5, FALSE))</f>
        <v>Disclosure</v>
      </c>
      <c r="E148" s="120">
        <f>IF('CA100 2023 Scores'!$E$51="y",1,IF('CA100 2023 Scores'!$E$51="N",0,IF('CA100 2023 Scores'!$E$51="Partial",0.5,IF('CA100 2023 Scores'!$E$51="Not assessed","Under development"))))</f>
        <v>0</v>
      </c>
      <c r="F148" s="120">
        <f>IF('CA100 2023 Scores'!$F$51="y",1,IF('CA100 2023 Scores'!$F$51="N",0,IF('CA100 2023 Scores'!$F$51="Partial",0.5,IF('CA100 2023 Scores'!$F$51="Not assessed","Under development"))))</f>
        <v>0</v>
      </c>
      <c r="G148" s="120">
        <f>IF('CA100 2023 Scores'!$G$51="y",1,IF('CA100 2023 Scores'!$G$51="N",0,IF('CA100 2023 Scores'!$G$51="Partial",0.5,IF('CA100 2023 Scores'!$G$51="Not assessed","Under development"))))</f>
        <v>0</v>
      </c>
      <c r="H148" s="120">
        <f>IF('CA100 2023 Scores'!$H$51="y",1,IF('CA100 2023 Scores'!$H$51="N",0,IF('CA100 2023 Scores'!$H$51="Partial",0.5,IF('CA100 2023 Scores'!$H$51="Not assessed","Under development"))))</f>
        <v>0</v>
      </c>
      <c r="I148" s="120">
        <f>IF('CA100 2023 Scores'!$I$51="y",1,IF('CA100 2023 Scores'!$I$51="N",0,IF('CA100 2023 Scores'!$I$51="Partial",0.5,IF('CA100 2023 Scores'!$I$51="Not assessed","Under development"))))</f>
        <v>0</v>
      </c>
      <c r="J148" s="120">
        <f>IF('CA100 2023 Scores'!$J$51="y",1,IF('CA100 2023 Scores'!$J$51="N",0,IF('CA100 2023 Scores'!$J$51="Partial",0.5,IF('CA100 2023 Scores'!$J$51="Not assessed","Under development"))))</f>
        <v>0</v>
      </c>
      <c r="K148" s="120">
        <f>IF('CA100 2023 Scores'!$K$51="y",1,IF('CA100 2023 Scores'!$K$51="N",0,IF('CA100 2023 Scores'!$K$51="Partial",0.5,IF('CA100 2023 Scores'!$K$51="Not assessed","Under development"))))</f>
        <v>0</v>
      </c>
      <c r="L148" s="120">
        <f>IF('CA100 2023 Scores'!$L$51="y",1,IF('CA100 2023 Scores'!$L$51="N",0,IF('CA100 2023 Scores'!$L$51="Partial",0.5,IF('CA100 2023 Scores'!$L$51="Not assessed","Under development"))))</f>
        <v>0</v>
      </c>
      <c r="M148" s="120">
        <f>IF('CA100 2023 Scores'!$M$51="y",1,IF('CA100 2023 Scores'!$M$51="N",0,IF('CA100 2023 Scores'!$M$51="Partial",0.5,IF('CA100 2023 Scores'!$M$51="Not assessed","Under development"))))</f>
        <v>0</v>
      </c>
      <c r="N148" s="120">
        <f>IF('CA100 2023 Scores'!$N$51="y",1,IF('CA100 2023 Scores'!$N$51="N",0,IF('CA100 2023 Scores'!$N$51="Partial",0.5,IF('CA100 2023 Scores'!$N$51="Not assessed","Under development"))))</f>
        <v>0</v>
      </c>
      <c r="O148" s="122"/>
      <c r="R148" s="50"/>
    </row>
    <row r="149" spans="2:18" s="40" customFormat="1" ht="15" customHeight="1" outlineLevel="2">
      <c r="B149" s="145" t="str">
        <f t="shared" si="31"/>
        <v>7.2.b</v>
      </c>
      <c r="C149" s="93" t="str">
        <f>'CA100 2023 Scores'!C52</f>
        <v>7.2.b: Review of trade associations'  positions and consequential actions taken</v>
      </c>
      <c r="D149" s="119" t="str">
        <f>IF(ISBLANK(VLOOKUP(B149, [1]BP!$A$8:$E$191, 5, FALSE)), "", VLOOKUP(B149, [1]BP!$A$8:$E$191, 5, FALSE))</f>
        <v>Disclosure</v>
      </c>
      <c r="E149" s="120">
        <f>IF('CA100 2023 Scores'!$E$52="y",1,IF('CA100 2023 Scores'!$E$52="N",0,IF('CA100 2023 Scores'!$E$52="Partial",0.5,IF('CA100 2023 Scores'!$E$52="Not assessed","Under development"))))</f>
        <v>1</v>
      </c>
      <c r="F149" s="120">
        <f>IF('CA100 2023 Scores'!$F$52="y",1,IF('CA100 2023 Scores'!$F$52="N",0,IF('CA100 2023 Scores'!$F$52="Partial",0.5,IF('CA100 2023 Scores'!$F$52="Not assessed","Under development"))))</f>
        <v>0</v>
      </c>
      <c r="G149" s="120">
        <f>IF('CA100 2023 Scores'!$G$52="y",1,IF('CA100 2023 Scores'!$G$52="N",0,IF('CA100 2023 Scores'!$G$52="Partial",0.5,IF('CA100 2023 Scores'!$G$52="Not assessed","Under development"))))</f>
        <v>0</v>
      </c>
      <c r="H149" s="120">
        <f>IF('CA100 2023 Scores'!$H$52="y",1,IF('CA100 2023 Scores'!$H$52="N",0,IF('CA100 2023 Scores'!$H$52="Partial",0.5,IF('CA100 2023 Scores'!$H$52="Not assessed","Under development"))))</f>
        <v>1</v>
      </c>
      <c r="I149" s="120">
        <f>IF('CA100 2023 Scores'!$I$52="y",1,IF('CA100 2023 Scores'!$I$52="N",0,IF('CA100 2023 Scores'!$I$52="Partial",0.5,IF('CA100 2023 Scores'!$I$52="Not assessed","Under development"))))</f>
        <v>1</v>
      </c>
      <c r="J149" s="120">
        <f>IF('CA100 2023 Scores'!$J$52="y",1,IF('CA100 2023 Scores'!$J$52="N",0,IF('CA100 2023 Scores'!$J$52="Partial",0.5,IF('CA100 2023 Scores'!$J$52="Not assessed","Under development"))))</f>
        <v>0</v>
      </c>
      <c r="K149" s="120">
        <f>IF('CA100 2023 Scores'!$K$52="y",1,IF('CA100 2023 Scores'!$K$52="N",0,IF('CA100 2023 Scores'!$K$52="Partial",0.5,IF('CA100 2023 Scores'!$K$52="Not assessed","Under development"))))</f>
        <v>1</v>
      </c>
      <c r="L149" s="120">
        <f>IF('CA100 2023 Scores'!$L$52="y",1,IF('CA100 2023 Scores'!$L$52="N",0,IF('CA100 2023 Scores'!$L$52="Partial",0.5,IF('CA100 2023 Scores'!$L$52="Not assessed","Under development"))))</f>
        <v>1</v>
      </c>
      <c r="M149" s="120">
        <f>IF('CA100 2023 Scores'!$M$52="y",1,IF('CA100 2023 Scores'!$M$52="N",0,IF('CA100 2023 Scores'!$M$52="Partial",0.5,IF('CA100 2023 Scores'!$M$52="Not assessed","Under development"))))</f>
        <v>0</v>
      </c>
      <c r="N149" s="120">
        <f>IF('CA100 2023 Scores'!$N$52="y",1,IF('CA100 2023 Scores'!$N$52="N",0,IF('CA100 2023 Scores'!$N$52="Partial",0.5,IF('CA100 2023 Scores'!$N$52="Not assessed","Under development"))))</f>
        <v>0</v>
      </c>
      <c r="O149" s="122"/>
      <c r="R149" s="50"/>
    </row>
    <row r="150" spans="2:18" s="40" customFormat="1" ht="15" customHeight="1" outlineLevel="1">
      <c r="B150" s="145"/>
      <c r="C150" s="93"/>
      <c r="D150" s="119"/>
      <c r="E150" s="120"/>
      <c r="F150" s="120"/>
      <c r="G150" s="120"/>
      <c r="H150" s="120"/>
      <c r="I150" s="120"/>
      <c r="J150" s="120"/>
      <c r="K150" s="120"/>
      <c r="L150" s="120"/>
      <c r="M150" s="120"/>
      <c r="N150" s="120"/>
      <c r="O150" s="122"/>
      <c r="R150" s="50"/>
    </row>
    <row r="151" spans="2:18" s="40" customFormat="1" ht="15" customHeight="1">
      <c r="B151" s="148"/>
      <c r="C151" s="77" t="s">
        <v>81</v>
      </c>
      <c r="D151" s="77" t="s">
        <v>81</v>
      </c>
      <c r="E151" s="74" t="s">
        <v>81</v>
      </c>
      <c r="F151" s="74" t="s">
        <v>81</v>
      </c>
      <c r="G151" s="74" t="s">
        <v>81</v>
      </c>
      <c r="H151" s="74" t="s">
        <v>81</v>
      </c>
      <c r="I151" s="74" t="s">
        <v>81</v>
      </c>
      <c r="J151" s="74" t="s">
        <v>81</v>
      </c>
      <c r="K151" s="74"/>
      <c r="L151" s="74"/>
      <c r="M151" s="74"/>
      <c r="N151" s="74"/>
      <c r="O151" s="129" t="s">
        <v>81</v>
      </c>
      <c r="R151" s="50"/>
    </row>
    <row r="152" spans="2:18" s="40" customFormat="1" ht="15" customHeight="1">
      <c r="B152" s="152" t="s">
        <v>499</v>
      </c>
      <c r="C152" s="91" t="s">
        <v>500</v>
      </c>
      <c r="D152" s="131"/>
      <c r="E152" s="68">
        <f>AVERAGE(E154,E157,E160)</f>
        <v>1</v>
      </c>
      <c r="F152" s="68">
        <f t="shared" ref="F152:N152" si="33">AVERAGE(F154,F157,F160)</f>
        <v>0.5</v>
      </c>
      <c r="G152" s="68">
        <f t="shared" si="33"/>
        <v>0.16666666666666666</v>
      </c>
      <c r="H152" s="68">
        <f t="shared" si="33"/>
        <v>0.66666666666666663</v>
      </c>
      <c r="I152" s="68">
        <f t="shared" si="33"/>
        <v>0.66666666666666663</v>
      </c>
      <c r="J152" s="68">
        <f t="shared" si="33"/>
        <v>0.5</v>
      </c>
      <c r="K152" s="68">
        <f t="shared" si="33"/>
        <v>0.66666666666666663</v>
      </c>
      <c r="L152" s="68">
        <f t="shared" si="33"/>
        <v>0.66666666666666663</v>
      </c>
      <c r="M152" s="68">
        <f t="shared" si="33"/>
        <v>0.33333333333333331</v>
      </c>
      <c r="N152" s="68">
        <f t="shared" si="33"/>
        <v>1</v>
      </c>
      <c r="O152" s="122"/>
      <c r="R152" s="50"/>
    </row>
    <row r="153" spans="2:18" s="40" customFormat="1" ht="15" customHeight="1">
      <c r="B153" s="148"/>
      <c r="C153" s="91"/>
      <c r="D153" s="131"/>
      <c r="E153" s="94"/>
      <c r="F153" s="94"/>
      <c r="G153" s="94"/>
      <c r="H153" s="94"/>
      <c r="I153" s="94"/>
      <c r="J153" s="94"/>
      <c r="K153" s="94"/>
      <c r="L153" s="94"/>
      <c r="M153" s="94"/>
      <c r="N153" s="94"/>
      <c r="O153" s="122"/>
      <c r="R153" s="50"/>
    </row>
    <row r="154" spans="2:18" s="40" customFormat="1" ht="15" customHeight="1" outlineLevel="1">
      <c r="B154" s="145">
        <v>8.1</v>
      </c>
      <c r="C154" s="91" t="str">
        <f>'CA100 2023 Scores'!C54</f>
        <v xml:space="preserve">8.1: Board oversight of climate change </v>
      </c>
      <c r="D154" s="119" t="str">
        <f>IF(ISBLANK(VLOOKUP(B154, [1]BP!$A$8:$E$191, 5, FALSE)), "", VLOOKUP(B154, [1]BP!$A$8:$E$191, 5, FALSE))</f>
        <v>Disclosure</v>
      </c>
      <c r="E154" s="120">
        <f>AVERAGE(E155:E156)</f>
        <v>1</v>
      </c>
      <c r="F154" s="120">
        <f t="shared" ref="F154:N154" si="34">AVERAGE(F155:F156)</f>
        <v>0.5</v>
      </c>
      <c r="G154" s="120">
        <f t="shared" si="34"/>
        <v>0.5</v>
      </c>
      <c r="H154" s="120">
        <f t="shared" si="34"/>
        <v>1</v>
      </c>
      <c r="I154" s="120">
        <f t="shared" si="34"/>
        <v>0.5</v>
      </c>
      <c r="J154" s="120">
        <f t="shared" si="34"/>
        <v>1</v>
      </c>
      <c r="K154" s="120">
        <f t="shared" si="34"/>
        <v>1</v>
      </c>
      <c r="L154" s="120">
        <f t="shared" si="34"/>
        <v>1</v>
      </c>
      <c r="M154" s="120">
        <f t="shared" si="34"/>
        <v>0.5</v>
      </c>
      <c r="N154" s="120">
        <f t="shared" si="34"/>
        <v>1</v>
      </c>
      <c r="O154" s="122"/>
      <c r="R154" s="50"/>
    </row>
    <row r="155" spans="2:18" s="40" customFormat="1" ht="15" customHeight="1" outlineLevel="2">
      <c r="B155" s="145" t="str">
        <f t="shared" ref="B155:B162" si="35">LEFT(C155,FIND(":",C155)-1)</f>
        <v>8.1.a</v>
      </c>
      <c r="C155" s="93" t="str">
        <f>'CA100 2023 Scores'!C55</f>
        <v>8.1.a: Disclosure of Board Committee oversight of climate change risks</v>
      </c>
      <c r="D155" s="119" t="str">
        <f>IF(ISBLANK(VLOOKUP(B155, [1]BP!$A$8:$E$191, 5, FALSE)), "", VLOOKUP(B155, [1]BP!$A$8:$E$191, 5, FALSE))</f>
        <v>Disclosure</v>
      </c>
      <c r="E155" s="120">
        <f>IF('CA100 2023 Scores'!$E$55="y",1,IF('CA100 2023 Scores'!$E$55="N",0,IF('CA100 2023 Scores'!$E$55="Partial",0.5,IF('CA100 2023 Scores'!$E$55="Not assessed","Under development"))))</f>
        <v>1</v>
      </c>
      <c r="F155" s="120">
        <f>IF('CA100 2023 Scores'!$F$55="y",1,IF('CA100 2023 Scores'!$F$55="N",0,IF('CA100 2023 Scores'!$F$55="Partial",0.5,IF('CA100 2023 Scores'!$F$55="Not assessed","Under development"))))</f>
        <v>1</v>
      </c>
      <c r="G155" s="120">
        <f>IF('CA100 2023 Scores'!$G$55="y",1,IF('CA100 2023 Scores'!$G$55="N",0,IF('CA100 2023 Scores'!$G$55="Partial",0.5,IF('CA100 2023 Scores'!$G$55="Not assessed","Under development"))))</f>
        <v>1</v>
      </c>
      <c r="H155" s="120">
        <f>IF('CA100 2023 Scores'!$H$55="y",1,IF('CA100 2023 Scores'!$H$55="N",0,IF('CA100 2023 Scores'!$H$55="Partial",0.5,IF('CA100 2023 Scores'!$H$55="Not assessed","Under development"))))</f>
        <v>1</v>
      </c>
      <c r="I155" s="120">
        <f>IF('CA100 2023 Scores'!$I$55="y",1,IF('CA100 2023 Scores'!$I$55="N",0,IF('CA100 2023 Scores'!$I$55="Partial",0.5,IF('CA100 2023 Scores'!$I$55="Not assessed","Under development"))))</f>
        <v>1</v>
      </c>
      <c r="J155" s="120">
        <f>IF('CA100 2023 Scores'!$J$55="y",1,IF('CA100 2023 Scores'!$J$55="N",0,IF('CA100 2023 Scores'!$J$55="Partial",0.5,IF('CA100 2023 Scores'!$J$55="Not assessed","Under development"))))</f>
        <v>1</v>
      </c>
      <c r="K155" s="120">
        <f>IF('CA100 2023 Scores'!$K$55="y",1,IF('CA100 2023 Scores'!$K$55="N",0,IF('CA100 2023 Scores'!$K$55="Partial",0.5,IF('CA100 2023 Scores'!$K$55="Not assessed","Under development"))))</f>
        <v>1</v>
      </c>
      <c r="L155" s="120">
        <f>IF('CA100 2023 Scores'!$L$55="y",1,IF('CA100 2023 Scores'!$L$55="N",0,IF('CA100 2023 Scores'!$L$55="Partial",0.5,IF('CA100 2023 Scores'!$L$55="Not assessed","Under development"))))</f>
        <v>1</v>
      </c>
      <c r="M155" s="120">
        <f>IF('CA100 2023 Scores'!$M$55="y",1,IF('CA100 2023 Scores'!$M$55="N",0,IF('CA100 2023 Scores'!$M$55="Partial",0.5,IF('CA100 2023 Scores'!$M$55="Not assessed","Under development"))))</f>
        <v>1</v>
      </c>
      <c r="N155" s="120">
        <f>IF('CA100 2023 Scores'!$N$55="y",1,IF('CA100 2023 Scores'!$N$55="N",0,IF('CA100 2023 Scores'!$N$55="Partial",0.5,IF('CA100 2023 Scores'!$N$55="Not assessed","Under development"))))</f>
        <v>1</v>
      </c>
      <c r="O155" s="122"/>
      <c r="R155" s="50"/>
    </row>
    <row r="156" spans="2:18" s="40" customFormat="1" ht="15" customHeight="1" outlineLevel="2">
      <c r="B156" s="145" t="str">
        <f t="shared" si="35"/>
        <v>8.1.b</v>
      </c>
      <c r="C156" s="93" t="str">
        <f>'CA100 2023 Scores'!C56</f>
        <v>8.1.b: Board level position named with responsibility for climate change</v>
      </c>
      <c r="D156" s="119" t="str">
        <f>IF(ISBLANK(VLOOKUP(B156, [1]BP!$A$8:$E$191, 5, FALSE)), "", VLOOKUP(B156, [1]BP!$A$8:$E$191, 5, FALSE))</f>
        <v>Disclosure</v>
      </c>
      <c r="E156" s="120">
        <f>IF('CA100 2023 Scores'!$E$56="y",1,IF('CA100 2023 Scores'!$E$56="N",0,IF('CA100 2023 Scores'!$E$56="Partial",0.5,IF('CA100 2023 Scores'!$E$56="Not assessed","Under development"))))</f>
        <v>1</v>
      </c>
      <c r="F156" s="120">
        <f>IF('CA100 2023 Scores'!$F$56="y",1,IF('CA100 2023 Scores'!$F$56="N",0,IF('CA100 2023 Scores'!$F$56="Partial",0.5,IF('CA100 2023 Scores'!$F$56="Not assessed","Under development"))))</f>
        <v>0</v>
      </c>
      <c r="G156" s="120">
        <f>IF('CA100 2023 Scores'!$G$56="y",1,IF('CA100 2023 Scores'!$G$56="N",0,IF('CA100 2023 Scores'!$G$56="Partial",0.5,IF('CA100 2023 Scores'!$G$56="Not assessed","Under development"))))</f>
        <v>0</v>
      </c>
      <c r="H156" s="120">
        <f>IF('CA100 2023 Scores'!$H$56="y",1,IF('CA100 2023 Scores'!$H$56="N",0,IF('CA100 2023 Scores'!$H$56="Partial",0.5,IF('CA100 2023 Scores'!$H$56="Not assessed","Under development"))))</f>
        <v>1</v>
      </c>
      <c r="I156" s="120">
        <f>IF('CA100 2023 Scores'!$I$56="y",1,IF('CA100 2023 Scores'!$I$56="N",0,IF('CA100 2023 Scores'!$I$56="Partial",0.5,IF('CA100 2023 Scores'!$I$56="Not assessed","Under development"))))</f>
        <v>0</v>
      </c>
      <c r="J156" s="120">
        <f>IF('CA100 2023 Scores'!$J$56="y",1,IF('CA100 2023 Scores'!$J$56="N",0,IF('CA100 2023 Scores'!$J$56="Partial",0.5,IF('CA100 2023 Scores'!$J$56="Not assessed","Under development"))))</f>
        <v>1</v>
      </c>
      <c r="K156" s="120">
        <f>IF('CA100 2023 Scores'!$K$56="y",1,IF('CA100 2023 Scores'!$K$56="N",0,IF('CA100 2023 Scores'!$K$56="Partial",0.5,IF('CA100 2023 Scores'!$K$56="Not assessed","Under development"))))</f>
        <v>1</v>
      </c>
      <c r="L156" s="120">
        <f>IF('CA100 2023 Scores'!$L$56="y",1,IF('CA100 2023 Scores'!$L$56="N",0,IF('CA100 2023 Scores'!$L$56="Partial",0.5,IF('CA100 2023 Scores'!$L$56="Not assessed","Under development"))))</f>
        <v>1</v>
      </c>
      <c r="M156" s="120">
        <f>IF('CA100 2023 Scores'!$M$56="y",1,IF('CA100 2023 Scores'!$M$56="N",0,IF('CA100 2023 Scores'!$M$56="Partial",0.5,IF('CA100 2023 Scores'!$M$56="Not assessed","Under development"))))</f>
        <v>0</v>
      </c>
      <c r="N156" s="120">
        <f>IF('CA100 2023 Scores'!$N$56="y",1,IF('CA100 2023 Scores'!$N$56="N",0,IF('CA100 2023 Scores'!$N$56="Partial",0.5,IF('CA100 2023 Scores'!$N$56="Not assessed","Under development"))))</f>
        <v>1</v>
      </c>
      <c r="O156" s="122"/>
      <c r="R156" s="50"/>
    </row>
    <row r="157" spans="2:18" s="40" customFormat="1" ht="15" customHeight="1" outlineLevel="1">
      <c r="B157" s="145">
        <v>8.1999999999999993</v>
      </c>
      <c r="C157" s="91" t="str">
        <f>'CA100 2023 Scores'!C57</f>
        <v>8.2: Inclusion of climate elements in executive remuneration scheme</v>
      </c>
      <c r="D157" s="119" t="str">
        <f>IF(ISBLANK(VLOOKUP(B157, [1]BP!$A$8:$E$191, 5, FALSE)), "", VLOOKUP(B157, [1]BP!$A$8:$E$191, 5, FALSE))</f>
        <v>Disclosure</v>
      </c>
      <c r="E157" s="120">
        <f>AVERAGE(E158:E159)</f>
        <v>1</v>
      </c>
      <c r="F157" s="120">
        <f t="shared" ref="F157:N157" si="36">AVERAGE(F158:F159)</f>
        <v>0.5</v>
      </c>
      <c r="G157" s="120">
        <f t="shared" si="36"/>
        <v>0</v>
      </c>
      <c r="H157" s="120">
        <f t="shared" si="36"/>
        <v>1</v>
      </c>
      <c r="I157" s="120">
        <f t="shared" si="36"/>
        <v>1</v>
      </c>
      <c r="J157" s="120">
        <f t="shared" si="36"/>
        <v>0.5</v>
      </c>
      <c r="K157" s="120">
        <f t="shared" si="36"/>
        <v>1</v>
      </c>
      <c r="L157" s="120">
        <f t="shared" si="36"/>
        <v>1</v>
      </c>
      <c r="M157" s="120">
        <f t="shared" si="36"/>
        <v>0</v>
      </c>
      <c r="N157" s="120">
        <f t="shared" si="36"/>
        <v>1</v>
      </c>
      <c r="O157" s="122"/>
      <c r="R157" s="50"/>
    </row>
    <row r="158" spans="2:18" s="40" customFormat="1" ht="15" customHeight="1" outlineLevel="2">
      <c r="B158" s="145" t="str">
        <f t="shared" si="35"/>
        <v>8.2.a</v>
      </c>
      <c r="C158" s="93" t="str">
        <f>'CA100 2023 Scores'!C58</f>
        <v>8.2.a: Incorporation of climate change performance as KPI for at least one senior executive</v>
      </c>
      <c r="D158" s="119" t="str">
        <f>IF(ISBLANK(VLOOKUP(B158, [1]BP!$A$8:$E$191, 5, FALSE)), "", VLOOKUP(B158, [1]BP!$A$8:$E$191, 5, FALSE))</f>
        <v>Disclosure</v>
      </c>
      <c r="E158" s="120">
        <f>IF('CA100 2023 Scores'!$E$58="y",1,IF('CA100 2023 Scores'!$E$58="N",0,IF('CA100 2023 Scores'!$E$58="Partial",0.5,IF('CA100 2023 Scores'!$E$58="Not assessed","Under development"))))</f>
        <v>1</v>
      </c>
      <c r="F158" s="120">
        <f>IF('CA100 2023 Scores'!$F$58="y",1,IF('CA100 2023 Scores'!$F$58="N",0,IF('CA100 2023 Scores'!$F$58="Partial",0.5,IF('CA100 2023 Scores'!$F$58="Not assessed","Under development"))))</f>
        <v>1</v>
      </c>
      <c r="G158" s="120">
        <f>IF('CA100 2023 Scores'!$G$58="y",1,IF('CA100 2023 Scores'!$G$58="N",0,IF('CA100 2023 Scores'!$G$58="Partial",0.5,IF('CA100 2023 Scores'!$G$58="Not assessed","Under development"))))</f>
        <v>0</v>
      </c>
      <c r="H158" s="120">
        <f>IF('CA100 2023 Scores'!$H$58="y",1,IF('CA100 2023 Scores'!$H$58="N",0,IF('CA100 2023 Scores'!$H$58="Partial",0.5,IF('CA100 2023 Scores'!$H$58="Not assessed","Under development"))))</f>
        <v>1</v>
      </c>
      <c r="I158" s="120">
        <f>IF('CA100 2023 Scores'!$I$58="y",1,IF('CA100 2023 Scores'!$I$58="N",0,IF('CA100 2023 Scores'!$I$58="Partial",0.5,IF('CA100 2023 Scores'!$I$58="Not assessed","Under development"))))</f>
        <v>1</v>
      </c>
      <c r="J158" s="120">
        <f>IF('CA100 2023 Scores'!$J$58="y",1,IF('CA100 2023 Scores'!$J$58="N",0,IF('CA100 2023 Scores'!$J$58="Partial",0.5,IF('CA100 2023 Scores'!$J$58="Not assessed","Under development"))))</f>
        <v>1</v>
      </c>
      <c r="K158" s="120">
        <f>IF('CA100 2023 Scores'!$K$58="y",1,IF('CA100 2023 Scores'!$K$58="N",0,IF('CA100 2023 Scores'!$K$58="Partial",0.5,IF('CA100 2023 Scores'!$K$58="Not assessed","Under development"))))</f>
        <v>1</v>
      </c>
      <c r="L158" s="120">
        <f>IF('CA100 2023 Scores'!$L$58="y",1,IF('CA100 2023 Scores'!$L$58="N",0,IF('CA100 2023 Scores'!$L$58="Partial",0.5,IF('CA100 2023 Scores'!$L$58="Not assessed","Under development"))))</f>
        <v>1</v>
      </c>
      <c r="M158" s="120">
        <f>IF('CA100 2023 Scores'!$M$58="y",1,IF('CA100 2023 Scores'!$M$58="N",0,IF('CA100 2023 Scores'!$M$58="Partial",0.5,IF('CA100 2023 Scores'!$M$58="Not assessed","Under development"))))</f>
        <v>0</v>
      </c>
      <c r="N158" s="120">
        <f>IF('CA100 2023 Scores'!$N$58="y",1,IF('CA100 2023 Scores'!$N$58="N",0,IF('CA100 2023 Scores'!$N$58="Partial",0.5,IF('CA100 2023 Scores'!$N$58="Not assessed","Under development"))))</f>
        <v>1</v>
      </c>
      <c r="O158" s="122"/>
      <c r="R158" s="50"/>
    </row>
    <row r="159" spans="2:18" s="40" customFormat="1" ht="15" customHeight="1" outlineLevel="2">
      <c r="B159" s="145" t="str">
        <f t="shared" si="35"/>
        <v>8.2.b</v>
      </c>
      <c r="C159" s="93" t="str">
        <f>'CA100 2023 Scores'!C59</f>
        <v>8.2.b: Incorporation of progress on GHG reduction targets as KPI for at least one senior executive</v>
      </c>
      <c r="D159" s="119" t="str">
        <f>IF(ISBLANK(VLOOKUP(B159, [1]BP!$A$8:$E$191, 5, FALSE)), "", VLOOKUP(B159, [1]BP!$A$8:$E$191, 5, FALSE))</f>
        <v>Disclosure</v>
      </c>
      <c r="E159" s="120">
        <f>IF('CA100 2023 Scores'!$E$59="y",1,IF('CA100 2023 Scores'!$E$59="N",0,IF('CA100 2023 Scores'!$E$59="Partial",0.5,IF('CA100 2023 Scores'!$E$59="Not assessed","Under development"))))</f>
        <v>1</v>
      </c>
      <c r="F159" s="120">
        <f>IF('CA100 2023 Scores'!$F$59="y",1,IF('CA100 2023 Scores'!$F$59="N",0,IF('CA100 2023 Scores'!$F$59="Partial",0.5,IF('CA100 2023 Scores'!$F$59="Not assessed","Under development"))))</f>
        <v>0</v>
      </c>
      <c r="G159" s="120">
        <f>IF('CA100 2023 Scores'!$G$59="y",1,IF('CA100 2023 Scores'!$G$59="N",0,IF('CA100 2023 Scores'!$G$59="Partial",0.5,IF('CA100 2023 Scores'!$G$59="Not assessed","Under development"))))</f>
        <v>0</v>
      </c>
      <c r="H159" s="120">
        <f>IF('CA100 2023 Scores'!$H$59="y",1,IF('CA100 2023 Scores'!$H$59="N",0,IF('CA100 2023 Scores'!$H$59="Partial",0.5,IF('CA100 2023 Scores'!$H$59="Not assessed","Under development"))))</f>
        <v>1</v>
      </c>
      <c r="I159" s="120">
        <f>IF('CA100 2023 Scores'!$I$59="y",1,IF('CA100 2023 Scores'!$I$59="N",0,IF('CA100 2023 Scores'!$I$59="Partial",0.5,IF('CA100 2023 Scores'!$I$59="Not assessed","Under development"))))</f>
        <v>1</v>
      </c>
      <c r="J159" s="120">
        <f>IF('CA100 2023 Scores'!$J$59="y",1,IF('CA100 2023 Scores'!$J$59="N",0,IF('CA100 2023 Scores'!$J$59="Partial",0.5,IF('CA100 2023 Scores'!$J$59="Not assessed","Under development"))))</f>
        <v>0</v>
      </c>
      <c r="K159" s="120">
        <f>IF('CA100 2023 Scores'!$K$59="y",1,IF('CA100 2023 Scores'!$K$59="N",0,IF('CA100 2023 Scores'!$K$59="Partial",0.5,IF('CA100 2023 Scores'!$K$59="Not assessed","Under development"))))</f>
        <v>1</v>
      </c>
      <c r="L159" s="120">
        <f>IF('CA100 2023 Scores'!$L$59="y",1,IF('CA100 2023 Scores'!$L$59="N",0,IF('CA100 2023 Scores'!$L$59="Partial",0.5,IF('CA100 2023 Scores'!$L$59="Not assessed","Under development"))))</f>
        <v>1</v>
      </c>
      <c r="M159" s="120">
        <f>IF('CA100 2023 Scores'!$M$59="y",1,IF('CA100 2023 Scores'!$M$59="N",0,IF('CA100 2023 Scores'!$M$59="Partial",0.5,IF('CA100 2023 Scores'!$M$59="Not assessed","Under development"))))</f>
        <v>0</v>
      </c>
      <c r="N159" s="120">
        <f>IF('CA100 2023 Scores'!$N$59="y",1,IF('CA100 2023 Scores'!$N$59="N",0,IF('CA100 2023 Scores'!$N$59="Partial",0.5,IF('CA100 2023 Scores'!$N$59="Not assessed","Under development"))))</f>
        <v>1</v>
      </c>
      <c r="O159" s="122"/>
      <c r="R159" s="50"/>
    </row>
    <row r="160" spans="2:18" s="40" customFormat="1" ht="15" customHeight="1" outlineLevel="1">
      <c r="B160" s="145">
        <v>8.3000000000000007</v>
      </c>
      <c r="C160" s="91" t="str">
        <f>'CA100 2023 Scores'!C60</f>
        <v xml:space="preserve">8.3: Board competencies/capabilities to assess and manage climate-related risks and opportunities </v>
      </c>
      <c r="D160" s="119" t="str">
        <f>IF(ISBLANK(VLOOKUP(B160, [1]BP!$A$8:$E$191, 5, FALSE)), "", VLOOKUP(B160, [1]BP!$A$8:$E$191, 5, FALSE))</f>
        <v>Disclosure</v>
      </c>
      <c r="E160" s="120">
        <f>AVERAGE(E161:E162)</f>
        <v>1</v>
      </c>
      <c r="F160" s="120">
        <f t="shared" ref="F160:N160" si="37">AVERAGE(F161:F162)</f>
        <v>0.5</v>
      </c>
      <c r="G160" s="120">
        <f t="shared" si="37"/>
        <v>0</v>
      </c>
      <c r="H160" s="120">
        <f t="shared" si="37"/>
        <v>0</v>
      </c>
      <c r="I160" s="120">
        <f t="shared" si="37"/>
        <v>0.5</v>
      </c>
      <c r="J160" s="120">
        <f t="shared" si="37"/>
        <v>0</v>
      </c>
      <c r="K160" s="120">
        <f t="shared" si="37"/>
        <v>0</v>
      </c>
      <c r="L160" s="120">
        <f t="shared" si="37"/>
        <v>0</v>
      </c>
      <c r="M160" s="120">
        <f t="shared" si="37"/>
        <v>0.5</v>
      </c>
      <c r="N160" s="120">
        <f t="shared" si="37"/>
        <v>1</v>
      </c>
      <c r="O160" s="122"/>
      <c r="R160" s="50"/>
    </row>
    <row r="161" spans="2:18" s="40" customFormat="1" ht="15" customHeight="1" outlineLevel="2">
      <c r="B161" s="145" t="str">
        <f t="shared" si="35"/>
        <v>8.3.a</v>
      </c>
      <c r="C161" s="93" t="str">
        <f>'CA100 2023 Scores'!C61</f>
        <v>8.3.a: Assessment and reporting of Board climate competencies</v>
      </c>
      <c r="D161" s="119" t="str">
        <f>IF(ISBLANK(VLOOKUP(B161, [1]BP!$A$8:$E$191, 5, FALSE)), "", VLOOKUP(B161, [1]BP!$A$8:$E$191, 5, FALSE))</f>
        <v>Disclosure</v>
      </c>
      <c r="E161" s="120">
        <f>IF('CA100 2023 Scores'!$E$61="y",1,IF('CA100 2023 Scores'!$E$61="N",0,IF('CA100 2023 Scores'!$E$61="Partial",0.5,IF('CA100 2023 Scores'!$E$61="Not assessed","Under development"))))</f>
        <v>1</v>
      </c>
      <c r="F161" s="120">
        <f>IF('CA100 2023 Scores'!$F$61="y",1,IF('CA100 2023 Scores'!$F$61="N",0,IF('CA100 2023 Scores'!$F$61="Partial",0.5,IF('CA100 2023 Scores'!$F$61="Not assessed","Under development"))))</f>
        <v>1</v>
      </c>
      <c r="G161" s="120">
        <f>IF('CA100 2023 Scores'!$G$61="y",1,IF('CA100 2023 Scores'!$G$61="N",0,IF('CA100 2023 Scores'!$G$61="Partial",0.5,IF('CA100 2023 Scores'!$G$61="Not assessed","Under development"))))</f>
        <v>0</v>
      </c>
      <c r="H161" s="120">
        <f>IF('CA100 2023 Scores'!$H$61="y",1,IF('CA100 2023 Scores'!$H$61="N",0,IF('CA100 2023 Scores'!$H$61="Partial",0.5,IF('CA100 2023 Scores'!$H$61="Not assessed","Under development"))))</f>
        <v>0</v>
      </c>
      <c r="I161" s="120">
        <f>IF('CA100 2023 Scores'!$I$61="y",1,IF('CA100 2023 Scores'!$I$61="N",0,IF('CA100 2023 Scores'!$I$61="Partial",0.5,IF('CA100 2023 Scores'!$I$61="Not assessed","Under development"))))</f>
        <v>1</v>
      </c>
      <c r="J161" s="120">
        <f>IF('CA100 2023 Scores'!$J$61="y",1,IF('CA100 2023 Scores'!$J$61="N",0,IF('CA100 2023 Scores'!$J$61="Partial",0.5,IF('CA100 2023 Scores'!$J$61="Not assessed","Under development"))))</f>
        <v>0</v>
      </c>
      <c r="K161" s="120">
        <f>IF('CA100 2023 Scores'!$K$61="y",1,IF('CA100 2023 Scores'!$K$61="N",0,IF('CA100 2023 Scores'!$K$61="Partial",0.5,IF('CA100 2023 Scores'!$K$61="Not assessed","Under development"))))</f>
        <v>0</v>
      </c>
      <c r="L161" s="120">
        <f>IF('CA100 2023 Scores'!$L$61="y",1,IF('CA100 2023 Scores'!$L$61="N",0,IF('CA100 2023 Scores'!$L$61="Partial",0.5,IF('CA100 2023 Scores'!$L$61="Not assessed","Under development"))))</f>
        <v>0</v>
      </c>
      <c r="M161" s="120">
        <f>IF('CA100 2023 Scores'!$M$61="y",1,IF('CA100 2023 Scores'!$M$61="N",0,IF('CA100 2023 Scores'!$M$61="Partial",0.5,IF('CA100 2023 Scores'!$M$61="Not assessed","Under development"))))</f>
        <v>1</v>
      </c>
      <c r="N161" s="120">
        <f>IF('CA100 2023 Scores'!$N$61="y",1,IF('CA100 2023 Scores'!$N$61="N",0,IF('CA100 2023 Scores'!$N$61="Partial",0.5,IF('CA100 2023 Scores'!$N$61="Not assessed","Under development"))))</f>
        <v>1</v>
      </c>
      <c r="O161" s="122"/>
      <c r="R161" s="50"/>
    </row>
    <row r="162" spans="2:18" s="40" customFormat="1" ht="15" customHeight="1" outlineLevel="2">
      <c r="B162" s="145" t="str">
        <f t="shared" si="35"/>
        <v>8.3.b</v>
      </c>
      <c r="C162" s="93" t="str">
        <f>'CA100 2023 Scores'!C62</f>
        <v>8.3.b: Criteria for assessment of Board climate competencies</v>
      </c>
      <c r="D162" s="119" t="str">
        <f>IF(ISBLANK(VLOOKUP(B162, [1]BP!$A$8:$E$191, 5, FALSE)), "", VLOOKUP(B162, [1]BP!$A$8:$E$191, 5, FALSE))</f>
        <v>Disclosure</v>
      </c>
      <c r="E162" s="120">
        <f>IF('CA100 2023 Scores'!$E$62="y",1,IF('CA100 2023 Scores'!$E$62="N",0,IF('CA100 2023 Scores'!$E$62="Partial",0.5,IF('CA100 2023 Scores'!$E$62="Not assessed","Under development"))))</f>
        <v>1</v>
      </c>
      <c r="F162" s="120">
        <f>IF('CA100 2023 Scores'!$F$62="y",1,IF('CA100 2023 Scores'!$F$62="N",0,IF('CA100 2023 Scores'!$F$62="Partial",0.5,IF('CA100 2023 Scores'!$F$62="Not assessed","Under development"))))</f>
        <v>0</v>
      </c>
      <c r="G162" s="120">
        <f>IF('CA100 2023 Scores'!$G$62="y",1,IF('CA100 2023 Scores'!$G$62="N",0,IF('CA100 2023 Scores'!$G$62="Partial",0.5,IF('CA100 2023 Scores'!$G$62="Not assessed","Under development"))))</f>
        <v>0</v>
      </c>
      <c r="H162" s="120">
        <f>IF('CA100 2023 Scores'!$H$62="y",1,IF('CA100 2023 Scores'!$H$62="N",0,IF('CA100 2023 Scores'!$H$62="Partial",0.5,IF('CA100 2023 Scores'!$H$62="Not assessed","Under development"))))</f>
        <v>0</v>
      </c>
      <c r="I162" s="120">
        <f>IF('CA100 2023 Scores'!$I$62="y",1,IF('CA100 2023 Scores'!$I$62="N",0,IF('CA100 2023 Scores'!$I$62="Partial",0.5,IF('CA100 2023 Scores'!$I$62="Not assessed","Under development"))))</f>
        <v>0</v>
      </c>
      <c r="J162" s="120">
        <f>IF('CA100 2023 Scores'!$J$62="y",1,IF('CA100 2023 Scores'!$J$62="N",0,IF('CA100 2023 Scores'!$J$62="Partial",0.5,IF('CA100 2023 Scores'!$J$62="Not assessed","Under development"))))</f>
        <v>0</v>
      </c>
      <c r="K162" s="120">
        <f>IF('CA100 2023 Scores'!$K$62="y",1,IF('CA100 2023 Scores'!$K$62="N",0,IF('CA100 2023 Scores'!$K$62="Partial",0.5,IF('CA100 2023 Scores'!$K$62="Not assessed","Under development"))))</f>
        <v>0</v>
      </c>
      <c r="L162" s="120">
        <f>IF('CA100 2023 Scores'!$L$62="y",1,IF('CA100 2023 Scores'!$L$62="N",0,IF('CA100 2023 Scores'!$L$62="Partial",0.5,IF('CA100 2023 Scores'!$L$62="Not assessed","Under development"))))</f>
        <v>0</v>
      </c>
      <c r="M162" s="120">
        <f>IF('CA100 2023 Scores'!$M$62="y",1,IF('CA100 2023 Scores'!$M$62="N",0,IF('CA100 2023 Scores'!$M$62="Partial",0.5,IF('CA100 2023 Scores'!$M$62="Not assessed","Under development"))))</f>
        <v>0</v>
      </c>
      <c r="N162" s="120">
        <f>IF('CA100 2023 Scores'!$N$62="y",1,IF('CA100 2023 Scores'!$N$62="N",0,IF('CA100 2023 Scores'!$N$62="Partial",0.5,IF('CA100 2023 Scores'!$N$62="Not assessed","Under development"))))</f>
        <v>1</v>
      </c>
      <c r="O162" s="122"/>
      <c r="R162" s="50"/>
    </row>
    <row r="163" spans="2:18" s="40" customFormat="1" ht="15" customHeight="1" outlineLevel="1">
      <c r="B163" s="145"/>
      <c r="C163" s="93"/>
      <c r="D163" s="119"/>
      <c r="E163" s="120"/>
      <c r="F163" s="120"/>
      <c r="G163" s="120"/>
      <c r="H163" s="120"/>
      <c r="I163" s="120"/>
      <c r="J163" s="120"/>
      <c r="K163" s="120"/>
      <c r="L163" s="120"/>
      <c r="M163" s="120"/>
      <c r="N163" s="120"/>
      <c r="O163" s="122"/>
      <c r="R163" s="50"/>
    </row>
    <row r="164" spans="2:18" s="40" customFormat="1" ht="15" customHeight="1">
      <c r="B164" s="148"/>
      <c r="C164" s="77" t="s">
        <v>81</v>
      </c>
      <c r="D164" s="131" t="s">
        <v>81</v>
      </c>
      <c r="E164" s="94" t="s">
        <v>81</v>
      </c>
      <c r="F164" s="94" t="s">
        <v>81</v>
      </c>
      <c r="G164" s="94" t="s">
        <v>81</v>
      </c>
      <c r="H164" s="94" t="s">
        <v>81</v>
      </c>
      <c r="I164" s="94" t="s">
        <v>81</v>
      </c>
      <c r="J164" s="94" t="s">
        <v>81</v>
      </c>
      <c r="K164" s="94"/>
      <c r="L164" s="94"/>
      <c r="M164" s="94"/>
      <c r="N164" s="94"/>
      <c r="O164" s="122" t="s">
        <v>81</v>
      </c>
      <c r="R164" s="50"/>
    </row>
    <row r="165" spans="2:18" s="40" customFormat="1" ht="15" customHeight="1">
      <c r="B165" s="152" t="s">
        <v>501</v>
      </c>
      <c r="C165" s="132" t="s">
        <v>502</v>
      </c>
      <c r="D165" s="67"/>
      <c r="E165" s="68">
        <f>AVERAGE(E167,E171)</f>
        <v>0.33333333333333331</v>
      </c>
      <c r="F165" s="68">
        <f t="shared" ref="F165:N165" si="38">AVERAGE(F167,F171)</f>
        <v>0</v>
      </c>
      <c r="G165" s="68">
        <f t="shared" si="38"/>
        <v>0.16666666666666666</v>
      </c>
      <c r="H165" s="68">
        <f t="shared" si="38"/>
        <v>0.83333333333333326</v>
      </c>
      <c r="I165" s="68">
        <f t="shared" si="38"/>
        <v>0.16666666666666666</v>
      </c>
      <c r="J165" s="68">
        <f t="shared" si="38"/>
        <v>0</v>
      </c>
      <c r="K165" s="68">
        <f t="shared" si="38"/>
        <v>0.83333333333333326</v>
      </c>
      <c r="L165" s="68">
        <f t="shared" si="38"/>
        <v>0</v>
      </c>
      <c r="M165" s="68">
        <f t="shared" si="38"/>
        <v>0</v>
      </c>
      <c r="N165" s="68">
        <f t="shared" si="38"/>
        <v>0.5</v>
      </c>
      <c r="O165" s="70" t="s">
        <v>81</v>
      </c>
      <c r="R165" s="50"/>
    </row>
    <row r="166" spans="2:18" s="40" customFormat="1" ht="15" customHeight="1">
      <c r="B166" s="148"/>
      <c r="C166" s="50"/>
      <c r="D166" s="131"/>
      <c r="E166" s="94"/>
      <c r="F166" s="94"/>
      <c r="G166" s="94"/>
      <c r="H166" s="94"/>
      <c r="I166" s="94"/>
      <c r="J166" s="94"/>
      <c r="K166" s="94"/>
      <c r="L166" s="94"/>
      <c r="M166" s="94"/>
      <c r="N166" s="94"/>
      <c r="O166" s="122" t="s">
        <v>81</v>
      </c>
      <c r="R166" s="50"/>
    </row>
    <row r="167" spans="2:18" s="40" customFormat="1" ht="15" customHeight="1" outlineLevel="1">
      <c r="B167" s="145">
        <v>9.1</v>
      </c>
      <c r="C167" s="91" t="str">
        <f>'CA100 2023 Scores'!C64</f>
        <v>9.1: Commitment to Just Transition principles</v>
      </c>
      <c r="D167" s="119" t="str">
        <f>IF(ISBLANK(VLOOKUP(B167, [1]BP!$A$8:$E$191, 5, FALSE)), "", VLOOKUP(B167, [1]BP!$A$8:$E$191, 5, FALSE))</f>
        <v>Disclosure</v>
      </c>
      <c r="E167" s="120">
        <f>AVERAGE(E168:E170)</f>
        <v>0.66666666666666663</v>
      </c>
      <c r="F167" s="120">
        <f t="shared" ref="F167:N167" si="39">AVERAGE(F168:F170)</f>
        <v>0</v>
      </c>
      <c r="G167" s="120">
        <f t="shared" si="39"/>
        <v>0.33333333333333331</v>
      </c>
      <c r="H167" s="120">
        <f t="shared" si="39"/>
        <v>0.66666666666666663</v>
      </c>
      <c r="I167" s="120">
        <f t="shared" si="39"/>
        <v>0.33333333333333331</v>
      </c>
      <c r="J167" s="120">
        <f t="shared" si="39"/>
        <v>0</v>
      </c>
      <c r="K167" s="120">
        <f t="shared" si="39"/>
        <v>1</v>
      </c>
      <c r="L167" s="120">
        <f t="shared" si="39"/>
        <v>0</v>
      </c>
      <c r="M167" s="120">
        <f t="shared" si="39"/>
        <v>0</v>
      </c>
      <c r="N167" s="120">
        <f t="shared" si="39"/>
        <v>0.66666666666666663</v>
      </c>
      <c r="O167" s="122" t="s">
        <v>81</v>
      </c>
      <c r="R167" s="50"/>
    </row>
    <row r="168" spans="2:18" s="40" customFormat="1" ht="15" customHeight="1" outlineLevel="2">
      <c r="B168" s="145" t="str">
        <f t="shared" ref="B168:B174" si="40">LEFT(C168,FIND(":",C168)-1)</f>
        <v>9.1.a</v>
      </c>
      <c r="C168" s="93" t="str">
        <f>'CA100 2023 Scores'!C65</f>
        <v xml:space="preserve">9.1.a: Commitment to decarbonise in line with Just Transition principles </v>
      </c>
      <c r="D168" s="119" t="str">
        <f>IF(ISBLANK(VLOOKUP(B168, [1]BP!$A$8:$E$191, 5, FALSE)), "", VLOOKUP(B168, [1]BP!$A$8:$E$191, 5, FALSE))</f>
        <v>Disclosure</v>
      </c>
      <c r="E168" s="120">
        <f>IF('CA100 2023 Scores'!$E$65="y",1,IF('CA100 2023 Scores'!$E$65="N",0,IF('CA100 2023 Scores'!$E$65="Partial",0.5,IF('CA100 2023 Scores'!$E$65="Not assessed","Under development"))))</f>
        <v>1</v>
      </c>
      <c r="F168" s="120">
        <f>IF('CA100 2023 Scores'!$F$65="y",1,IF('CA100 2023 Scores'!$F$65="N",0,IF('CA100 2023 Scores'!$F$65="Partial",0.5,IF('CA100 2023 Scores'!$F$65="Not assessed","Under development"))))</f>
        <v>0</v>
      </c>
      <c r="G168" s="120">
        <f>IF('CA100 2023 Scores'!$G$65="y",1,IF('CA100 2023 Scores'!$G$65="N",0,IF('CA100 2023 Scores'!$G$65="Partial",0.5,IF('CA100 2023 Scores'!$G$65="Not assessed","Under development"))))</f>
        <v>1</v>
      </c>
      <c r="H168" s="120">
        <f>IF('CA100 2023 Scores'!$H$65="y",1,IF('CA100 2023 Scores'!$H$65="N",0,IF('CA100 2023 Scores'!$H$65="Partial",0.5,IF('CA100 2023 Scores'!$H$65="Not assessed","Under development"))))</f>
        <v>1</v>
      </c>
      <c r="I168" s="120">
        <f>IF('CA100 2023 Scores'!$I$65="y",1,IF('CA100 2023 Scores'!$I$65="N",0,IF('CA100 2023 Scores'!$I$65="Partial",0.5,IF('CA100 2023 Scores'!$I$65="Not assessed","Under development"))))</f>
        <v>1</v>
      </c>
      <c r="J168" s="120">
        <f>IF('CA100 2023 Scores'!$J$65="y",1,IF('CA100 2023 Scores'!$J$65="N",0,IF('CA100 2023 Scores'!$J$65="Partial",0.5,IF('CA100 2023 Scores'!$J$65="Not assessed","Under development"))))</f>
        <v>0</v>
      </c>
      <c r="K168" s="120">
        <f>IF('CA100 2023 Scores'!$K$65="y",1,IF('CA100 2023 Scores'!$K$65="N",0,IF('CA100 2023 Scores'!$K$65="Partial",0.5,IF('CA100 2023 Scores'!$K$65="Not assessed","Under development"))))</f>
        <v>1</v>
      </c>
      <c r="L168" s="120">
        <f>IF('CA100 2023 Scores'!$L$65="y",1,IF('CA100 2023 Scores'!$L$65="N",0,IF('CA100 2023 Scores'!$L$65="Partial",0.5,IF('CA100 2023 Scores'!$L$65="Not assessed","Under development"))))</f>
        <v>0</v>
      </c>
      <c r="M168" s="120">
        <f>IF('CA100 2023 Scores'!$M$65="y",1,IF('CA100 2023 Scores'!$M$65="N",0,IF('CA100 2023 Scores'!$M$65="Partial",0.5,IF('CA100 2023 Scores'!$M$65="Not assessed","Under development"))))</f>
        <v>0</v>
      </c>
      <c r="N168" s="120">
        <f>IF('CA100 2023 Scores'!$N$65="y",1,IF('CA100 2023 Scores'!$N$65="N",0,IF('CA100 2023 Scores'!$N$65="Partial",0.5,IF('CA100 2023 Scores'!$N$65="Not assessed","Under development"))))</f>
        <v>1</v>
      </c>
      <c r="O168" s="122" t="s">
        <v>81</v>
      </c>
      <c r="R168" s="50"/>
    </row>
    <row r="169" spans="2:18" s="40" customFormat="1" ht="15" customHeight="1" outlineLevel="2">
      <c r="B169" s="145" t="str">
        <f t="shared" si="40"/>
        <v>9.1.b</v>
      </c>
      <c r="C169" s="93" t="str">
        <f>'CA100 2023 Scores'!C66</f>
        <v>9.1.b: Commitment to workers affected by decarbonisation efforts</v>
      </c>
      <c r="D169" s="119" t="str">
        <f>IF(ISBLANK(VLOOKUP(B169, [1]BP!$A$8:$E$191, 5, FALSE)), "", VLOOKUP(B169, [1]BP!$A$8:$E$191, 5, FALSE))</f>
        <v>Disclosure</v>
      </c>
      <c r="E169" s="120">
        <f>IF('CA100 2023 Scores'!$E$66="y",1,IF('CA100 2023 Scores'!$E$66="N",0,IF('CA100 2023 Scores'!$E$66="Partial",0.5,IF('CA100 2023 Scores'!$E$66="Not assessed","Under development"))))</f>
        <v>1</v>
      </c>
      <c r="F169" s="120">
        <f>IF('CA100 2023 Scores'!$F$66="y",1,IF('CA100 2023 Scores'!$F$66="N",0,IF('CA100 2023 Scores'!$F$66="Partial",0.5,IF('CA100 2023 Scores'!$F$66="Not assessed","Under development"))))</f>
        <v>0</v>
      </c>
      <c r="G169" s="120">
        <f>IF('CA100 2023 Scores'!$G$66="y",1,IF('CA100 2023 Scores'!$G$66="N",0,IF('CA100 2023 Scores'!$G$66="Partial",0.5,IF('CA100 2023 Scores'!$G$66="Not assessed","Under development"))))</f>
        <v>0</v>
      </c>
      <c r="H169" s="120">
        <f>IF('CA100 2023 Scores'!$H$66="y",1,IF('CA100 2023 Scores'!$H$66="N",0,IF('CA100 2023 Scores'!$H$66="Partial",0.5,IF('CA100 2023 Scores'!$H$66="Not assessed","Under development"))))</f>
        <v>1</v>
      </c>
      <c r="I169" s="120">
        <f>IF('CA100 2023 Scores'!$I$66="y",1,IF('CA100 2023 Scores'!$I$66="N",0,IF('CA100 2023 Scores'!$I$66="Partial",0.5,IF('CA100 2023 Scores'!$I$66="Not assessed","Under development"))))</f>
        <v>0</v>
      </c>
      <c r="J169" s="120">
        <f>IF('CA100 2023 Scores'!$J$66="y",1,IF('CA100 2023 Scores'!$J$66="N",0,IF('CA100 2023 Scores'!$J$66="Partial",0.5,IF('CA100 2023 Scores'!$J$66="Not assessed","Under development"))))</f>
        <v>0</v>
      </c>
      <c r="K169" s="120">
        <f>IF('CA100 2023 Scores'!$K$66="y",1,IF('CA100 2023 Scores'!$K$66="N",0,IF('CA100 2023 Scores'!$K$66="Partial",0.5,IF('CA100 2023 Scores'!$K$66="Not assessed","Under development"))))</f>
        <v>1</v>
      </c>
      <c r="L169" s="120">
        <f>IF('CA100 2023 Scores'!$L$66="y",1,IF('CA100 2023 Scores'!$L$66="N",0,IF('CA100 2023 Scores'!$L$66="Partial",0.5,IF('CA100 2023 Scores'!$L$66="Not assessed","Under development"))))</f>
        <v>0</v>
      </c>
      <c r="M169" s="120">
        <f>IF('CA100 2023 Scores'!$M$66="y",1,IF('CA100 2023 Scores'!$M$66="N",0,IF('CA100 2023 Scores'!$M$66="Partial",0.5,IF('CA100 2023 Scores'!$M$66="Not assessed","Under development"))))</f>
        <v>0</v>
      </c>
      <c r="N169" s="120">
        <f>IF('CA100 2023 Scores'!$N$66="y",1,IF('CA100 2023 Scores'!$N$66="N",0,IF('CA100 2023 Scores'!$N$66="Partial",0.5,IF('CA100 2023 Scores'!$N$66="Not assessed","Under development"))))</f>
        <v>1</v>
      </c>
      <c r="O169" s="122" t="s">
        <v>81</v>
      </c>
      <c r="R169" s="50"/>
    </row>
    <row r="170" spans="2:18" s="40" customFormat="1" ht="15" customHeight="1" outlineLevel="2">
      <c r="B170" s="145" t="str">
        <f t="shared" si="40"/>
        <v>9.1.c</v>
      </c>
      <c r="C170" s="93" t="str">
        <f>'CA100 2023 Scores'!C67</f>
        <v xml:space="preserve">9.1.c: Commitment to consult and seek consent from affected communities </v>
      </c>
      <c r="D170" s="119" t="str">
        <f>IF(ISBLANK(VLOOKUP(B170, [1]BP!$A$8:$E$191, 5, FALSE)), "", VLOOKUP(B170, [1]BP!$A$8:$E$191, 5, FALSE))</f>
        <v>Disclosure</v>
      </c>
      <c r="E170" s="120">
        <f>IF('CA100 2023 Scores'!$E$67="y",1,IF('CA100 2023 Scores'!$E$67="N",0,IF('CA100 2023 Scores'!$E$67="Partial",0.5,IF('CA100 2023 Scores'!$E$67="Not assessed","Under development"))))</f>
        <v>0</v>
      </c>
      <c r="F170" s="120">
        <f>IF('CA100 2023 Scores'!$F$67="y",1,IF('CA100 2023 Scores'!$F$67="N",0,IF('CA100 2023 Scores'!$F$67="Partial",0.5,IF('CA100 2023 Scores'!$F$67="Not assessed","Under development"))))</f>
        <v>0</v>
      </c>
      <c r="G170" s="120">
        <f>IF('CA100 2023 Scores'!$G$67="y",1,IF('CA100 2023 Scores'!$G$67="N",0,IF('CA100 2023 Scores'!$G$67="Partial",0.5,IF('CA100 2023 Scores'!$G$67="Not assessed","Under development"))))</f>
        <v>0</v>
      </c>
      <c r="H170" s="120">
        <f>IF('CA100 2023 Scores'!$H$67="y",1,IF('CA100 2023 Scores'!$H$67="N",0,IF('CA100 2023 Scores'!$H$67="Partial",0.5,IF('CA100 2023 Scores'!$H$67="Not assessed","Under development"))))</f>
        <v>0</v>
      </c>
      <c r="I170" s="120">
        <f>IF('CA100 2023 Scores'!$I$67="y",1,IF('CA100 2023 Scores'!$I$67="N",0,IF('CA100 2023 Scores'!$I$67="Partial",0.5,IF('CA100 2023 Scores'!$I$67="Not assessed","Under development"))))</f>
        <v>0</v>
      </c>
      <c r="J170" s="120">
        <f>IF('CA100 2023 Scores'!$J$67="y",1,IF('CA100 2023 Scores'!$J$67="N",0,IF('CA100 2023 Scores'!$J$67="Partial",0.5,IF('CA100 2023 Scores'!$J$67="Not assessed","Under development"))))</f>
        <v>0</v>
      </c>
      <c r="K170" s="120">
        <f>IF('CA100 2023 Scores'!$K$67="y",1,IF('CA100 2023 Scores'!$K$67="N",0,IF('CA100 2023 Scores'!$K$67="Partial",0.5,IF('CA100 2023 Scores'!$K$67="Not assessed","Under development"))))</f>
        <v>1</v>
      </c>
      <c r="L170" s="120">
        <f>IF('CA100 2023 Scores'!$L$67="y",1,IF('CA100 2023 Scores'!$L$67="N",0,IF('CA100 2023 Scores'!$L$67="Partial",0.5,IF('CA100 2023 Scores'!$L$67="Not assessed","Under development"))))</f>
        <v>0</v>
      </c>
      <c r="M170" s="120">
        <f>IF('CA100 2023 Scores'!$M$67="y",1,IF('CA100 2023 Scores'!$M$67="N",0,IF('CA100 2023 Scores'!$M$67="Partial",0.5,IF('CA100 2023 Scores'!$M$67="Not assessed","Under development"))))</f>
        <v>0</v>
      </c>
      <c r="N170" s="120">
        <f>IF('CA100 2023 Scores'!$N$67="y",1,IF('CA100 2023 Scores'!$N$67="N",0,IF('CA100 2023 Scores'!$N$67="Partial",0.5,IF('CA100 2023 Scores'!$N$67="Not assessed","Under development"))))</f>
        <v>0</v>
      </c>
      <c r="O170" s="122" t="s">
        <v>81</v>
      </c>
      <c r="R170" s="50"/>
    </row>
    <row r="171" spans="2:18" s="40" customFormat="1" ht="15" customHeight="1" outlineLevel="1">
      <c r="B171" s="145">
        <v>9.1999999999999993</v>
      </c>
      <c r="C171" s="91" t="str">
        <f>'CA100 2023 Scores'!C68</f>
        <v xml:space="preserve">9.2: Disclosure of Just Transition planning and progress monitoring </v>
      </c>
      <c r="D171" s="119" t="str">
        <f>IF(ISBLANK(VLOOKUP(B171, [1]BP!$A$8:$E$191, 5, FALSE)), "", VLOOKUP(B171, [1]BP!$A$8:$E$191, 5, FALSE))</f>
        <v>Disclosure</v>
      </c>
      <c r="E171" s="120">
        <f>AVERAGE(E172:E174)</f>
        <v>0</v>
      </c>
      <c r="F171" s="120">
        <f t="shared" ref="F171:N171" si="41">AVERAGE(F172:F174)</f>
        <v>0</v>
      </c>
      <c r="G171" s="120">
        <f t="shared" si="41"/>
        <v>0</v>
      </c>
      <c r="H171" s="120">
        <f t="shared" si="41"/>
        <v>1</v>
      </c>
      <c r="I171" s="120">
        <f t="shared" si="41"/>
        <v>0</v>
      </c>
      <c r="J171" s="120">
        <f t="shared" si="41"/>
        <v>0</v>
      </c>
      <c r="K171" s="120">
        <f t="shared" si="41"/>
        <v>0.66666666666666663</v>
      </c>
      <c r="L171" s="120">
        <f t="shared" si="41"/>
        <v>0</v>
      </c>
      <c r="M171" s="120">
        <f t="shared" si="41"/>
        <v>0</v>
      </c>
      <c r="N171" s="120">
        <f t="shared" si="41"/>
        <v>0.33333333333333331</v>
      </c>
      <c r="O171" s="122"/>
      <c r="R171" s="50"/>
    </row>
    <row r="172" spans="2:18" s="40" customFormat="1" ht="15" customHeight="1" outlineLevel="2">
      <c r="B172" s="145" t="str">
        <f t="shared" si="40"/>
        <v>9.2.a</v>
      </c>
      <c r="C172" s="93" t="str">
        <f>'CA100 2023 Scores'!C69</f>
        <v>9.2.a: Development of Just Transition plan</v>
      </c>
      <c r="D172" s="119" t="str">
        <f>IF(ISBLANK(VLOOKUP(B172, [1]BP!$A$8:$E$191, 5, FALSE)), "", VLOOKUP(B172, [1]BP!$A$8:$E$191, 5, FALSE))</f>
        <v>Disclosure</v>
      </c>
      <c r="E172" s="120">
        <f>IF('CA100 2023 Scores'!$E$69="y",1,IF('CA100 2023 Scores'!$E$69="N",0,IF('CA100 2023 Scores'!$E$69="Partial",0.5,IF('CA100 2023 Scores'!$E$69="Not assessed","Under development"))))</f>
        <v>0</v>
      </c>
      <c r="F172" s="120">
        <f>IF('CA100 2023 Scores'!$F$69="y",1,IF('CA100 2023 Scores'!$F$69="N",0,IF('CA100 2023 Scores'!$F$69="Partial",0.5,IF('CA100 2023 Scores'!$F$69="Not assessed","Under development"))))</f>
        <v>0</v>
      </c>
      <c r="G172" s="120">
        <f>IF('CA100 2023 Scores'!$G$69="y",1,IF('CA100 2023 Scores'!$G$69="N",0,IF('CA100 2023 Scores'!$G$69="Partial",0.5,IF('CA100 2023 Scores'!$G$69="Not assessed","Under development"))))</f>
        <v>0</v>
      </c>
      <c r="H172" s="120">
        <f>IF('CA100 2023 Scores'!$H$69="y",1,IF('CA100 2023 Scores'!$H$69="N",0,IF('CA100 2023 Scores'!$H$69="Partial",0.5,IF('CA100 2023 Scores'!$H$69="Not assessed","Under development"))))</f>
        <v>1</v>
      </c>
      <c r="I172" s="120">
        <f>IF('CA100 2023 Scores'!$I$69="y",1,IF('CA100 2023 Scores'!$I$69="N",0,IF('CA100 2023 Scores'!$I$69="Partial",0.5,IF('CA100 2023 Scores'!$I$69="Not assessed","Under development"))))</f>
        <v>0</v>
      </c>
      <c r="J172" s="120">
        <f>IF('CA100 2023 Scores'!$J$69="y",1,IF('CA100 2023 Scores'!$J$69="N",0,IF('CA100 2023 Scores'!$J$69="Partial",0.5,IF('CA100 2023 Scores'!$J$69="Not assessed","Under development"))))</f>
        <v>0</v>
      </c>
      <c r="K172" s="120">
        <f>IF('CA100 2023 Scores'!$K$69="y",1,IF('CA100 2023 Scores'!$K$69="N",0,IF('CA100 2023 Scores'!$K$69="Partial",0.5,IF('CA100 2023 Scores'!$K$69="Not assessed","Under development"))))</f>
        <v>1</v>
      </c>
      <c r="L172" s="120">
        <f>IF('CA100 2023 Scores'!$L$69="y",1,IF('CA100 2023 Scores'!$L$69="N",0,IF('CA100 2023 Scores'!$L$69="Partial",0.5,IF('CA100 2023 Scores'!$L$69="Not assessed","Under development"))))</f>
        <v>0</v>
      </c>
      <c r="M172" s="120">
        <f>IF('CA100 2023 Scores'!$M$69="y",1,IF('CA100 2023 Scores'!$M$69="N",0,IF('CA100 2023 Scores'!$M$69="Partial",0.5,IF('CA100 2023 Scores'!$M$69="Not assessed","Under development"))))</f>
        <v>0</v>
      </c>
      <c r="N172" s="120">
        <f>IF('CA100 2023 Scores'!$N$69="y",1,IF('CA100 2023 Scores'!$N$69="N",0,IF('CA100 2023 Scores'!$N$69="Partial",0.5,IF('CA100 2023 Scores'!$N$69="Not assessed","Under development"))))</f>
        <v>1</v>
      </c>
      <c r="O172" s="122"/>
      <c r="R172" s="50"/>
    </row>
    <row r="173" spans="2:18" s="40" customFormat="1" ht="15" customHeight="1" outlineLevel="2">
      <c r="B173" s="145" t="str">
        <f t="shared" si="40"/>
        <v>9.2.b</v>
      </c>
      <c r="C173" s="93" t="str">
        <f>'CA100 2023 Scores'!C70</f>
        <v>9.2.b: Just Transition plan developed in consultation with affected stakeholders</v>
      </c>
      <c r="D173" s="119" t="str">
        <f>IF(ISBLANK(VLOOKUP(B173, [1]BP!$A$8:$E$191, 5, FALSE)), "", VLOOKUP(B173, [1]BP!$A$8:$E$191, 5, FALSE))</f>
        <v>Disclosure</v>
      </c>
      <c r="E173" s="120">
        <f>IF('CA100 2023 Scores'!$E$70="y",1,IF('CA100 2023 Scores'!$E$70="N",0,IF('CA100 2023 Scores'!$E$70="Partial",0.5,IF('CA100 2023 Scores'!$E$70="Not assessed","Under development"))))</f>
        <v>0</v>
      </c>
      <c r="F173" s="120">
        <f>IF('CA100 2023 Scores'!$F$70="y",1,IF('CA100 2023 Scores'!$F$70="N",0,IF('CA100 2023 Scores'!$F$70="Partial",0.5,IF('CA100 2023 Scores'!$F$70="Not assessed","Under development"))))</f>
        <v>0</v>
      </c>
      <c r="G173" s="120">
        <f>IF('CA100 2023 Scores'!$G$70="y",1,IF('CA100 2023 Scores'!$G$70="N",0,IF('CA100 2023 Scores'!$G$70="Partial",0.5,IF('CA100 2023 Scores'!$G$70="Not assessed","Under development"))))</f>
        <v>0</v>
      </c>
      <c r="H173" s="120">
        <f>IF('CA100 2023 Scores'!$H$70="y",1,IF('CA100 2023 Scores'!$H$70="N",0,IF('CA100 2023 Scores'!$H$70="Partial",0.5,IF('CA100 2023 Scores'!$H$70="Not assessed","Under development"))))</f>
        <v>1</v>
      </c>
      <c r="I173" s="120">
        <f>IF('CA100 2023 Scores'!$I$70="y",1,IF('CA100 2023 Scores'!$I$70="N",0,IF('CA100 2023 Scores'!$I$70="Partial",0.5,IF('CA100 2023 Scores'!$I$70="Not assessed","Under development"))))</f>
        <v>0</v>
      </c>
      <c r="J173" s="120">
        <f>IF('CA100 2023 Scores'!$J$70="y",1,IF('CA100 2023 Scores'!$J$70="N",0,IF('CA100 2023 Scores'!$J$70="Partial",0.5,IF('CA100 2023 Scores'!$J$70="Not assessed","Under development"))))</f>
        <v>0</v>
      </c>
      <c r="K173" s="120">
        <f>IF('CA100 2023 Scores'!$K$70="y",1,IF('CA100 2023 Scores'!$K$70="N",0,IF('CA100 2023 Scores'!$K$70="Partial",0.5,IF('CA100 2023 Scores'!$K$70="Not assessed","Under development"))))</f>
        <v>1</v>
      </c>
      <c r="L173" s="120">
        <f>IF('CA100 2023 Scores'!$L$70="y",1,IF('CA100 2023 Scores'!$L$70="N",0,IF('CA100 2023 Scores'!$L$70="Partial",0.5,IF('CA100 2023 Scores'!$L$70="Not assessed","Under development"))))</f>
        <v>0</v>
      </c>
      <c r="M173" s="120">
        <f>IF('CA100 2023 Scores'!$M$70="y",1,IF('CA100 2023 Scores'!$M$70="N",0,IF('CA100 2023 Scores'!$M$70="Partial",0.5,IF('CA100 2023 Scores'!$M$70="Not assessed","Under development"))))</f>
        <v>0</v>
      </c>
      <c r="N173" s="120">
        <f>IF('CA100 2023 Scores'!$N$70="y",1,IF('CA100 2023 Scores'!$N$70="N",0,IF('CA100 2023 Scores'!$N$70="Partial",0.5,IF('CA100 2023 Scores'!$N$70="Not assessed","Under development"))))</f>
        <v>0</v>
      </c>
      <c r="O173" s="122"/>
      <c r="R173" s="50"/>
    </row>
    <row r="174" spans="2:18" s="40" customFormat="1" ht="15" customHeight="1" outlineLevel="2">
      <c r="B174" s="145" t="str">
        <f t="shared" si="40"/>
        <v>9.2.c</v>
      </c>
      <c r="C174" s="93" t="str">
        <f>'CA100 2023 Scores'!C71</f>
        <v>9.2.c: Disclosure of KPIs for Just Transition plan</v>
      </c>
      <c r="D174" s="119" t="str">
        <f>IF(ISBLANK(VLOOKUP(B174, [1]BP!$A$8:$E$191, 5, FALSE)), "", VLOOKUP(B174, [1]BP!$A$8:$E$191, 5, FALSE))</f>
        <v>Disclosure</v>
      </c>
      <c r="E174" s="120">
        <f>IF('CA100 2023 Scores'!$E$71="y",1,IF('CA100 2023 Scores'!$E$71="N",0,IF('CA100 2023 Scores'!$E$71="Partial",0.5,IF('CA100 2023 Scores'!$E$71="Not assessed","Under development"))))</f>
        <v>0</v>
      </c>
      <c r="F174" s="120">
        <f>IF('CA100 2023 Scores'!$F$71="y",1,IF('CA100 2023 Scores'!$F$71="N",0,IF('CA100 2023 Scores'!$F$71="Partial",0.5,IF('CA100 2023 Scores'!$F$71="Not assessed","Under development"))))</f>
        <v>0</v>
      </c>
      <c r="G174" s="120">
        <f>IF('CA100 2023 Scores'!$G$71="y",1,IF('CA100 2023 Scores'!$G$71="N",0,IF('CA100 2023 Scores'!$G$71="Partial",0.5,IF('CA100 2023 Scores'!$G$71="Not assessed","Under development"))))</f>
        <v>0</v>
      </c>
      <c r="H174" s="120">
        <f>IF('CA100 2023 Scores'!$H$71="y",1,IF('CA100 2023 Scores'!$H$71="N",0,IF('CA100 2023 Scores'!$H$71="Partial",0.5,IF('CA100 2023 Scores'!$H$71="Not assessed","Under development"))))</f>
        <v>1</v>
      </c>
      <c r="I174" s="120">
        <f>IF('CA100 2023 Scores'!$I$71="y",1,IF('CA100 2023 Scores'!$I$71="N",0,IF('CA100 2023 Scores'!$I$71="Partial",0.5,IF('CA100 2023 Scores'!$I$71="Not assessed","Under development"))))</f>
        <v>0</v>
      </c>
      <c r="J174" s="120">
        <f>IF('CA100 2023 Scores'!$J$71="y",1,IF('CA100 2023 Scores'!$J$71="N",0,IF('CA100 2023 Scores'!$J$71="Partial",0.5,IF('CA100 2023 Scores'!$J$71="Not assessed","Under development"))))</f>
        <v>0</v>
      </c>
      <c r="K174" s="120">
        <f>IF('CA100 2023 Scores'!$K$71="y",1,IF('CA100 2023 Scores'!$K$71="N",0,IF('CA100 2023 Scores'!$K$71="Partial",0.5,IF('CA100 2023 Scores'!$K$71="Not assessed","Under development"))))</f>
        <v>0</v>
      </c>
      <c r="L174" s="120">
        <f>IF('CA100 2023 Scores'!$L$71="y",1,IF('CA100 2023 Scores'!$L$71="N",0,IF('CA100 2023 Scores'!$L$71="Partial",0.5,IF('CA100 2023 Scores'!$L$71="Not assessed","Under development"))))</f>
        <v>0</v>
      </c>
      <c r="M174" s="120">
        <f>IF('CA100 2023 Scores'!$M$71="y",1,IF('CA100 2023 Scores'!$M$71="N",0,IF('CA100 2023 Scores'!$M$71="Partial",0.5,IF('CA100 2023 Scores'!$M$71="Not assessed","Under development"))))</f>
        <v>0</v>
      </c>
      <c r="N174" s="120">
        <f>IF('CA100 2023 Scores'!$N$71="y",1,IF('CA100 2023 Scores'!$N$71="N",0,IF('CA100 2023 Scores'!$N$71="Partial",0.5,IF('CA100 2023 Scores'!$N$71="Not assessed","Under development"))))</f>
        <v>0</v>
      </c>
      <c r="O174" s="122"/>
      <c r="R174" s="50"/>
    </row>
    <row r="175" spans="2:18" s="40" customFormat="1" ht="15" customHeight="1" outlineLevel="1">
      <c r="B175" s="145"/>
      <c r="C175" s="96"/>
      <c r="D175" s="108"/>
      <c r="E175" s="120"/>
      <c r="F175" s="120"/>
      <c r="G175" s="120"/>
      <c r="H175" s="120"/>
      <c r="I175" s="120"/>
      <c r="J175" s="120"/>
      <c r="K175" s="120"/>
      <c r="L175" s="120"/>
      <c r="M175" s="120"/>
      <c r="N175" s="120"/>
      <c r="O175" s="122"/>
      <c r="R175" s="50"/>
    </row>
    <row r="176" spans="2:18" s="40" customFormat="1" ht="15" customHeight="1">
      <c r="B176" s="150"/>
      <c r="C176" s="73" t="s">
        <v>81</v>
      </c>
      <c r="D176" s="73" t="s">
        <v>81</v>
      </c>
      <c r="E176" s="74" t="s">
        <v>81</v>
      </c>
      <c r="F176" s="74" t="s">
        <v>81</v>
      </c>
      <c r="G176" s="74" t="s">
        <v>81</v>
      </c>
      <c r="H176" s="74" t="s">
        <v>81</v>
      </c>
      <c r="I176" s="74" t="s">
        <v>81</v>
      </c>
      <c r="J176" s="74" t="s">
        <v>81</v>
      </c>
      <c r="K176" s="74"/>
      <c r="L176" s="74"/>
      <c r="M176" s="74"/>
      <c r="N176" s="74"/>
      <c r="O176" s="129" t="s">
        <v>81</v>
      </c>
      <c r="R176" s="50"/>
    </row>
    <row r="177" spans="2:18" s="40" customFormat="1" ht="15" customHeight="1">
      <c r="B177" s="152" t="s">
        <v>503</v>
      </c>
      <c r="C177" s="132" t="s">
        <v>504</v>
      </c>
      <c r="D177" s="69"/>
      <c r="E177" s="68">
        <f>AVERAGE(E179,E182,E185,E190)</f>
        <v>0.66666666666666663</v>
      </c>
      <c r="F177" s="68">
        <f t="shared" ref="F177:N177" si="42">AVERAGE(F179,F182,F185,F190)</f>
        <v>0.54166666666666663</v>
      </c>
      <c r="G177" s="68">
        <f t="shared" si="42"/>
        <v>0.45833333333333331</v>
      </c>
      <c r="H177" s="120">
        <f t="shared" si="42"/>
        <v>0.6875</v>
      </c>
      <c r="I177" s="120">
        <f t="shared" si="42"/>
        <v>0.5</v>
      </c>
      <c r="J177" s="120">
        <f t="shared" si="42"/>
        <v>0.58333333333333337</v>
      </c>
      <c r="K177" s="120">
        <f t="shared" si="42"/>
        <v>0.64583333333333337</v>
      </c>
      <c r="L177" s="120">
        <f t="shared" si="42"/>
        <v>0.75</v>
      </c>
      <c r="M177" s="120">
        <f t="shared" si="42"/>
        <v>0.375</v>
      </c>
      <c r="N177" s="120">
        <f t="shared" si="42"/>
        <v>0.58333333333333337</v>
      </c>
      <c r="O177" s="70"/>
      <c r="R177" s="50"/>
    </row>
    <row r="178" spans="2:18" s="40" customFormat="1" ht="15" customHeight="1">
      <c r="B178" s="148"/>
      <c r="C178" s="50"/>
      <c r="D178" s="108" t="s">
        <v>81</v>
      </c>
      <c r="E178" s="94"/>
      <c r="F178" s="94"/>
      <c r="G178" s="94"/>
      <c r="H178" s="94"/>
      <c r="I178" s="94"/>
      <c r="J178" s="94"/>
      <c r="K178" s="94"/>
      <c r="L178" s="94"/>
      <c r="M178" s="94"/>
      <c r="N178" s="94"/>
      <c r="O178" s="138"/>
      <c r="R178" s="50"/>
    </row>
    <row r="179" spans="2:18" s="40" customFormat="1" ht="15" customHeight="1" outlineLevel="1">
      <c r="B179" s="145">
        <v>10.1</v>
      </c>
      <c r="C179" s="91" t="s">
        <v>225</v>
      </c>
      <c r="D179" s="119" t="str">
        <f>IF(ISBLANK(VLOOKUP(B179, [1]BP!$A$8:$E$191, 5, FALSE)), "", VLOOKUP(B179, [1]BP!$A$8:$E$191, 5, FALSE))</f>
        <v>Disclosure</v>
      </c>
      <c r="E179" s="120">
        <f>AVERAGE(E180:E181)</f>
        <v>1</v>
      </c>
      <c r="F179" s="120">
        <f t="shared" ref="F179:N179" si="43">AVERAGE(F180:F181)</f>
        <v>0</v>
      </c>
      <c r="G179" s="120">
        <f t="shared" si="43"/>
        <v>1</v>
      </c>
      <c r="H179" s="120">
        <f t="shared" si="43"/>
        <v>1</v>
      </c>
      <c r="I179" s="120">
        <f t="shared" si="43"/>
        <v>1</v>
      </c>
      <c r="J179" s="120">
        <f t="shared" si="43"/>
        <v>1</v>
      </c>
      <c r="K179" s="120">
        <f t="shared" si="43"/>
        <v>1</v>
      </c>
      <c r="L179" s="120">
        <f t="shared" si="43"/>
        <v>1</v>
      </c>
      <c r="M179" s="120">
        <f t="shared" si="43"/>
        <v>1</v>
      </c>
      <c r="N179" s="120">
        <f t="shared" si="43"/>
        <v>1</v>
      </c>
      <c r="O179" s="138"/>
      <c r="R179" s="50"/>
    </row>
    <row r="180" spans="2:18" s="40" customFormat="1" ht="15" customHeight="1" outlineLevel="2">
      <c r="B180" s="145" t="str">
        <f t="shared" ref="B180:B184" si="44">LEFT(C180,FIND(":",C180)-1)</f>
        <v>10.1.a</v>
      </c>
      <c r="C180" s="93" t="s">
        <v>227</v>
      </c>
      <c r="D180" s="119" t="str">
        <f>IF(ISBLANK(VLOOKUP(B180, [1]BP!$A$8:$E$191, 5, FALSE)), "", VLOOKUP(B180, [1]BP!$A$8:$E$191, 5, FALSE))</f>
        <v>Disclosure</v>
      </c>
      <c r="E180" s="120">
        <f>IF('CA100 2023 Scores'!$E$74="y",1,IF('CA100 2023 Scores'!$E$74="N",0,IF('CA100 2023 Scores'!$E$74="Partial",0.5,IF('CA100 2023 Scores'!$E$74="Not assessed","Under development"))))</f>
        <v>1</v>
      </c>
      <c r="F180" s="120">
        <f>IF('CA100 2023 Scores'!$F$74="y",1,IF('CA100 2023 Scores'!$F$74="N",0,IF('CA100 2023 Scores'!$F$74="Partial",0.5,IF('CA100 2023 Scores'!$F$74="Not assessed","Under development"))))</f>
        <v>0</v>
      </c>
      <c r="G180" s="120">
        <f>IF('CA100 2023 Scores'!$G$74="y",1,IF('CA100 2023 Scores'!$G$74="N",0,IF('CA100 2023 Scores'!$G$74="Partial",0.5,IF('CA100 2023 Scores'!$G$74="Not assessed","Under development"))))</f>
        <v>1</v>
      </c>
      <c r="H180" s="120">
        <f>IF('CA100 2023 Scores'!$H$74="y",1,IF('CA100 2023 Scores'!$H$74="N",0,IF('CA100 2023 Scores'!$H$74="Partial",0.5,IF('CA100 2023 Scores'!$H$74="Not assessed","Under development"))))</f>
        <v>1</v>
      </c>
      <c r="I180" s="120">
        <f>IF('CA100 2023 Scores'!$I$74="y",1,IF('CA100 2023 Scores'!$I$74="N",0,IF('CA100 2023 Scores'!$I$74="Partial",0.5,IF('CA100 2023 Scores'!$I$74="Not assessed","Under development"))))</f>
        <v>1</v>
      </c>
      <c r="J180" s="120">
        <f>IF('CA100 2023 Scores'!$J$74="y",1,IF('CA100 2023 Scores'!$J$74="N",0,IF('CA100 2023 Scores'!$J$74="Partial",0.5,IF('CA100 2023 Scores'!$J$74="Not assessed","Under development"))))</f>
        <v>1</v>
      </c>
      <c r="K180" s="120">
        <f>IF('CA100 2023 Scores'!$K$74="y",1,IF('CA100 2023 Scores'!$K$74="N",0,IF('CA100 2023 Scores'!$K$74="Partial",0.5,IF('CA100 2023 Scores'!$K$74="Not assessed","Under development"))))</f>
        <v>1</v>
      </c>
      <c r="L180" s="120">
        <f>IF('CA100 2023 Scores'!$L$74="y",1,IF('CA100 2023 Scores'!$L$74="N",0,IF('CA100 2023 Scores'!$L$74="Partial",0.5,IF('CA100 2023 Scores'!$L$74="Not assessed","Under development"))))</f>
        <v>1</v>
      </c>
      <c r="M180" s="120">
        <f>IF('CA100 2023 Scores'!$M$74="y",1,IF('CA100 2023 Scores'!$M$74="N",0,IF('CA100 2023 Scores'!$M$74="Partial",0.5,IF('CA100 2023 Scores'!$M$74="Not assessed","Under development"))))</f>
        <v>1</v>
      </c>
      <c r="N180" s="120">
        <f>IF('CA100 2023 Scores'!$N$74="y",1,IF('CA100 2023 Scores'!$N$74="N",0,IF('CA100 2023 Scores'!$N$74="Partial",0.5,IF('CA100 2023 Scores'!$N$74="Not assessed","Under development"))))</f>
        <v>1</v>
      </c>
      <c r="O180" s="138" t="s">
        <v>81</v>
      </c>
      <c r="R180" s="50"/>
    </row>
    <row r="181" spans="2:18" s="40" customFormat="1" ht="15" customHeight="1" outlineLevel="2">
      <c r="B181" s="145" t="str">
        <f t="shared" si="44"/>
        <v>10.1.b</v>
      </c>
      <c r="C181" s="93" t="s">
        <v>229</v>
      </c>
      <c r="D181" s="119" t="str">
        <f>IF(ISBLANK(VLOOKUP(B181, [1]BP!$A$8:$E$191, 5, FALSE)), "", VLOOKUP(B181, [1]BP!$A$8:$E$191, 5, FALSE))</f>
        <v>Disclosure</v>
      </c>
      <c r="E181" s="120">
        <f>IF('CA100 2023 Scores'!$E$75="y",1,IF('CA100 2023 Scores'!$E$75="N",0,IF('CA100 2023 Scores'!$E$75="Partial",0.5,IF('CA100 2023 Scores'!$E$75="Not assessed","Under development"))))</f>
        <v>1</v>
      </c>
      <c r="F181" s="120">
        <f>IF('CA100 2023 Scores'!$F$75="y",1,IF('CA100 2023 Scores'!$F$75="N",0,IF('CA100 2023 Scores'!$F$75="Partial",0.5,IF('CA100 2023 Scores'!$F$75="Not assessed","Under development"))))</f>
        <v>0</v>
      </c>
      <c r="G181" s="120">
        <f>IF('CA100 2023 Scores'!$G$75="y",1,IF('CA100 2023 Scores'!$G$75="N",0,IF('CA100 2023 Scores'!$G$75="Partial",0.5,IF('CA100 2023 Scores'!$G$75="Not assessed","Under development"))))</f>
        <v>1</v>
      </c>
      <c r="H181" s="120">
        <f>IF('CA100 2023 Scores'!$H$75="y",1,IF('CA100 2023 Scores'!$H$75="N",0,IF('CA100 2023 Scores'!$H$75="Partial",0.5,IF('CA100 2023 Scores'!$H$75="Not assessed","Under development"))))</f>
        <v>1</v>
      </c>
      <c r="I181" s="120">
        <f>IF('CA100 2023 Scores'!$I$75="y",1,IF('CA100 2023 Scores'!$I$75="N",0,IF('CA100 2023 Scores'!$I$75="Partial",0.5,IF('CA100 2023 Scores'!$I$75="Not assessed","Under development"))))</f>
        <v>1</v>
      </c>
      <c r="J181" s="120">
        <f>IF('CA100 2023 Scores'!$J$75="y",1,IF('CA100 2023 Scores'!$J$75="N",0,IF('CA100 2023 Scores'!$J$75="Partial",0.5,IF('CA100 2023 Scores'!$J$75="Not assessed","Under development"))))</f>
        <v>1</v>
      </c>
      <c r="K181" s="120">
        <f>IF('CA100 2023 Scores'!$K$75="y",1,IF('CA100 2023 Scores'!$K$75="N",0,IF('CA100 2023 Scores'!$K$75="Partial",0.5,IF('CA100 2023 Scores'!$K$75="Not assessed","Under development"))))</f>
        <v>1</v>
      </c>
      <c r="L181" s="120">
        <f>IF('CA100 2023 Scores'!$L$75="y",1,IF('CA100 2023 Scores'!$L$75="N",0,IF('CA100 2023 Scores'!$L$75="Partial",0.5,IF('CA100 2023 Scores'!$L$75="Not assessed","Under development"))))</f>
        <v>1</v>
      </c>
      <c r="M181" s="120">
        <f>IF('CA100 2023 Scores'!$M$75="y",1,IF('CA100 2023 Scores'!$M$75="N",0,IF('CA100 2023 Scores'!$M$75="Partial",0.5,IF('CA100 2023 Scores'!$M$75="Not assessed","Under development"))))</f>
        <v>1</v>
      </c>
      <c r="N181" s="120">
        <f>IF('CA100 2023 Scores'!$N$75="y",1,IF('CA100 2023 Scores'!$N$75="N",0,IF('CA100 2023 Scores'!$N$75="Partial",0.5,IF('CA100 2023 Scores'!$N$75="Not assessed","Under development"))))</f>
        <v>1</v>
      </c>
      <c r="O181" s="138"/>
      <c r="R181" s="50"/>
    </row>
    <row r="182" spans="2:18" s="40" customFormat="1" ht="15" customHeight="1" outlineLevel="1">
      <c r="B182" s="145">
        <v>10.199999999999999</v>
      </c>
      <c r="C182" s="91" t="s">
        <v>230</v>
      </c>
      <c r="D182" s="119" t="str">
        <f>IF(ISBLANK(VLOOKUP(B182, [1]BP!$A$8:$E$191, 5, FALSE)), "", VLOOKUP(B182, [1]BP!$A$8:$E$191, 5, FALSE))</f>
        <v>Disclosure</v>
      </c>
      <c r="E182" s="120">
        <f>AVERAGE(E183:E184)</f>
        <v>1</v>
      </c>
      <c r="F182" s="120">
        <f t="shared" ref="F182:N182" si="45">AVERAGE(F183:F184)</f>
        <v>1</v>
      </c>
      <c r="G182" s="120">
        <f t="shared" si="45"/>
        <v>0.5</v>
      </c>
      <c r="H182" s="120">
        <f t="shared" si="45"/>
        <v>0.5</v>
      </c>
      <c r="I182" s="120">
        <f t="shared" si="45"/>
        <v>1</v>
      </c>
      <c r="J182" s="120">
        <f t="shared" si="45"/>
        <v>1</v>
      </c>
      <c r="K182" s="120">
        <f t="shared" si="45"/>
        <v>1</v>
      </c>
      <c r="L182" s="120">
        <f t="shared" si="45"/>
        <v>1</v>
      </c>
      <c r="M182" s="120">
        <f t="shared" si="45"/>
        <v>0.5</v>
      </c>
      <c r="N182" s="120">
        <f t="shared" si="45"/>
        <v>1</v>
      </c>
      <c r="O182" s="138"/>
      <c r="R182" s="50"/>
    </row>
    <row r="183" spans="2:18" s="40" customFormat="1" ht="15" customHeight="1" outlineLevel="2">
      <c r="B183" s="145" t="str">
        <f t="shared" si="44"/>
        <v>10.2.a</v>
      </c>
      <c r="C183" s="93" t="s">
        <v>232</v>
      </c>
      <c r="D183" s="119" t="str">
        <f>IF(ISBLANK(VLOOKUP(B183, [1]BP!$A$8:$E$191, 5, FALSE)), "", VLOOKUP(B183, [1]BP!$A$8:$E$191, 5, FALSE))</f>
        <v>Disclosure</v>
      </c>
      <c r="E183" s="120">
        <f>IF('CA100 2023 Scores'!$E$77="y",1,IF('CA100 2023 Scores'!$E$77="N",0,IF('CA100 2023 Scores'!$E$77="Partial",0.5,IF('CA100 2023 Scores'!$E$77="Not assessed","Under development"))))</f>
        <v>1</v>
      </c>
      <c r="F183" s="120">
        <f>IF('CA100 2023 Scores'!$F$77="y",1,IF('CA100 2023 Scores'!$F$77="N",0,IF('CA100 2023 Scores'!$F$77="Partial",0.5,IF('CA100 2023 Scores'!$F$77="Not assessed","Under development"))))</f>
        <v>1</v>
      </c>
      <c r="G183" s="120">
        <f>IF('CA100 2023 Scores'!$G$77="y",1,IF('CA100 2023 Scores'!$G$77="N",0,IF('CA100 2023 Scores'!$G$77="Partial",0.5,IF('CA100 2023 Scores'!$G$77="Not assessed","Under development"))))</f>
        <v>1</v>
      </c>
      <c r="H183" s="120">
        <f>IF('CA100 2023 Scores'!$H$77="y",1,IF('CA100 2023 Scores'!$H$77="N",0,IF('CA100 2023 Scores'!$H$77="Partial",0.5,IF('CA100 2023 Scores'!$H$77="Not assessed","Under development"))))</f>
        <v>1</v>
      </c>
      <c r="I183" s="120">
        <f>IF('CA100 2023 Scores'!$I$77="y",1,IF('CA100 2023 Scores'!$I$77="N",0,IF('CA100 2023 Scores'!$I$77="Partial",0.5,IF('CA100 2023 Scores'!$I$77="Not assessed","Under development"))))</f>
        <v>1</v>
      </c>
      <c r="J183" s="120">
        <f>IF('CA100 2023 Scores'!$J$77="y",1,IF('CA100 2023 Scores'!$J$77="N",0,IF('CA100 2023 Scores'!$J$77="Partial",0.5,IF('CA100 2023 Scores'!$J$77="Not assessed","Under development"))))</f>
        <v>1</v>
      </c>
      <c r="K183" s="120">
        <f>IF('CA100 2023 Scores'!$K$77="y",1,IF('CA100 2023 Scores'!$K$77="N",0,IF('CA100 2023 Scores'!$K$77="Partial",0.5,IF('CA100 2023 Scores'!$K$77="Not assessed","Under development"))))</f>
        <v>1</v>
      </c>
      <c r="L183" s="120">
        <f>IF('CA100 2023 Scores'!$L$77="y",1,IF('CA100 2023 Scores'!$L$77="N",0,IF('CA100 2023 Scores'!$L$77="Partial",0.5,IF('CA100 2023 Scores'!$L$77="Not assessed","Under development"))))</f>
        <v>1</v>
      </c>
      <c r="M183" s="120">
        <f>IF('CA100 2023 Scores'!$M$77="y",1,IF('CA100 2023 Scores'!$M$77="N",0,IF('CA100 2023 Scores'!$M$77="Partial",0.5,IF('CA100 2023 Scores'!$M$77="Not assessed","Under development"))))</f>
        <v>1</v>
      </c>
      <c r="N183" s="120">
        <f>IF('CA100 2023 Scores'!$N$77="y",1,IF('CA100 2023 Scores'!$N$77="N",0,IF('CA100 2023 Scores'!$N$77="Partial",0.5,IF('CA100 2023 Scores'!$N$77="Not assessed","Under development"))))</f>
        <v>1</v>
      </c>
      <c r="O183" s="138"/>
      <c r="R183" s="50"/>
    </row>
    <row r="184" spans="2:18" s="40" customFormat="1" ht="15" customHeight="1" outlineLevel="2">
      <c r="B184" s="145" t="str">
        <f t="shared" si="44"/>
        <v>10.2.b</v>
      </c>
      <c r="C184" s="93" t="s">
        <v>234</v>
      </c>
      <c r="D184" s="119" t="str">
        <f>IF(ISBLANK(VLOOKUP(B184, [1]BP!$A$8:$E$191, 5, FALSE)), "", VLOOKUP(B184, [1]BP!$A$8:$E$191, 5, FALSE))</f>
        <v>Disclosure</v>
      </c>
      <c r="E184" s="120">
        <f>IF('CA100 2023 Scores'!$E$78="y",1,IF('CA100 2023 Scores'!$E$78="N",0,IF('CA100 2023 Scores'!$E$78="Partial",0.5,IF('CA100 2023 Scores'!$E$78="Not assessed","Under development"))))</f>
        <v>1</v>
      </c>
      <c r="F184" s="120">
        <f>IF('CA100 2023 Scores'!$F$78="y",1,IF('CA100 2023 Scores'!$F$78="N",0,IF('CA100 2023 Scores'!$F$78="Partial",0.5,IF('CA100 2023 Scores'!$F$78="Not assessed","Under development"))))</f>
        <v>1</v>
      </c>
      <c r="G184" s="120">
        <f>IF('CA100 2023 Scores'!$G$78="y",1,IF('CA100 2023 Scores'!$G$78="N",0,IF('CA100 2023 Scores'!$G$78="Partial",0.5,IF('CA100 2023 Scores'!$G$78="Not assessed","Under development"))))</f>
        <v>0</v>
      </c>
      <c r="H184" s="120">
        <f>IF('CA100 2023 Scores'!$H$78="y",1,IF('CA100 2023 Scores'!$H$78="N",0,IF('CA100 2023 Scores'!$H$78="Partial",0.5,IF('CA100 2023 Scores'!$H$78="Not assessed","Under development"))))</f>
        <v>0</v>
      </c>
      <c r="I184" s="120">
        <f>IF('CA100 2023 Scores'!$I$78="y",1,IF('CA100 2023 Scores'!$I$78="N",0,IF('CA100 2023 Scores'!$I$78="Partial",0.5,IF('CA100 2023 Scores'!$I$78="Not assessed","Under development"))))</f>
        <v>1</v>
      </c>
      <c r="J184" s="120">
        <f>IF('CA100 2023 Scores'!$J$78="y",1,IF('CA100 2023 Scores'!$J$78="N",0,IF('CA100 2023 Scores'!$J$78="Partial",0.5,IF('CA100 2023 Scores'!$J$78="Not assessed","Under development"))))</f>
        <v>1</v>
      </c>
      <c r="K184" s="120">
        <f>IF('CA100 2023 Scores'!$K$78="y",1,IF('CA100 2023 Scores'!$K$78="N",0,IF('CA100 2023 Scores'!$K$78="Partial",0.5,IF('CA100 2023 Scores'!$K$78="Not assessed","Under development"))))</f>
        <v>1</v>
      </c>
      <c r="L184" s="120">
        <f>IF('CA100 2023 Scores'!$L$78="y",1,IF('CA100 2023 Scores'!$L$78="N",0,IF('CA100 2023 Scores'!$L$78="Partial",0.5,IF('CA100 2023 Scores'!$L$78="Not assessed","Under development"))))</f>
        <v>1</v>
      </c>
      <c r="M184" s="120">
        <f>IF('CA100 2023 Scores'!$M$78="y",1,IF('CA100 2023 Scores'!$M$78="N",0,IF('CA100 2023 Scores'!$M$78="Partial",0.5,IF('CA100 2023 Scores'!$M$78="Not assessed","Under development"))))</f>
        <v>0</v>
      </c>
      <c r="N184" s="120">
        <f>IF('CA100 2023 Scores'!$N$78="y",1,IF('CA100 2023 Scores'!$N$78="N",0,IF('CA100 2023 Scores'!$N$78="Partial",0.5,IF('CA100 2023 Scores'!$N$78="Not assessed","Under development"))))</f>
        <v>1</v>
      </c>
      <c r="O184" s="138"/>
      <c r="R184" s="50"/>
    </row>
    <row r="185" spans="2:18" s="40" customFormat="1" ht="15" customHeight="1" outlineLevel="1">
      <c r="B185" s="145" t="str">
        <f t="shared" ref="B185:B193" si="46">LEFT(C185,FIND(" ",C185)-1)</f>
        <v>10.i</v>
      </c>
      <c r="C185" s="135" t="s">
        <v>505</v>
      </c>
      <c r="D185" s="134" t="s">
        <v>81</v>
      </c>
      <c r="E185" s="120">
        <f>AVERAGE(E186:E189)</f>
        <v>0</v>
      </c>
      <c r="F185" s="120">
        <f t="shared" ref="F185:N185" si="47">AVERAGE(F186:F189)</f>
        <v>0.5</v>
      </c>
      <c r="G185" s="120">
        <f t="shared" si="47"/>
        <v>0</v>
      </c>
      <c r="H185" s="120">
        <f t="shared" si="47"/>
        <v>0.25</v>
      </c>
      <c r="I185" s="120">
        <f t="shared" si="47"/>
        <v>0</v>
      </c>
      <c r="J185" s="120">
        <f t="shared" si="47"/>
        <v>0</v>
      </c>
      <c r="K185" s="120">
        <f t="shared" si="47"/>
        <v>0.25</v>
      </c>
      <c r="L185" s="120">
        <f t="shared" si="47"/>
        <v>0</v>
      </c>
      <c r="M185" s="120">
        <f t="shared" si="47"/>
        <v>0</v>
      </c>
      <c r="N185" s="120">
        <f t="shared" si="47"/>
        <v>0</v>
      </c>
      <c r="O185" s="138" t="s">
        <v>81</v>
      </c>
      <c r="R185" s="50"/>
    </row>
    <row r="186" spans="2:18" s="40" customFormat="1" ht="15" customHeight="1" outlineLevel="2">
      <c r="B186" s="145" t="str">
        <f t="shared" si="46"/>
        <v>10.i.a</v>
      </c>
      <c r="C186" s="126" t="s">
        <v>506</v>
      </c>
      <c r="D186" s="127" t="s">
        <v>44</v>
      </c>
      <c r="E186" s="120">
        <f>IF('NZS O&amp;G Summary'!$F$106="Y",1,IF('NZS O&amp;G Summary'!$F$106="n",0,IF('NZS O&amp;G Summary'!$F$106="Under development","Under development",IF('NZS O&amp;G Summary'!$F$106="Not applicable", "Not Applicable"))))</f>
        <v>0</v>
      </c>
      <c r="F186" s="120">
        <f>IF('NZS O&amp;G Summary'!$G$106="y",1,IF('NZS O&amp;G Summary'!$G$106="n",0,IF('NZS O&amp;G Summary'!$G$106="Under development","Under development",IF('NZS O&amp;G Summary'!$G$106="Not applicable", "Not Applicable"))))</f>
        <v>1</v>
      </c>
      <c r="G186" s="120">
        <f>IF('NZS O&amp;G Summary'!$H$106="y",1,IF('NZS O&amp;G Summary'!$H$106="n",0,IF('NZS O&amp;G Summary'!$H$106="Under development","Under development",IF('NZS O&amp;G Summary'!$H$106="Not applicable", "Not Applicable"))))</f>
        <v>0</v>
      </c>
      <c r="H186" s="120">
        <f>IF('NZS O&amp;G Summary'!$I$106="y",1,IF('NZS O&amp;G Summary'!$I$106="N",0,IF('NZS O&amp;G Summary'!$I$106="Under development","Under development",IF('NZS O&amp;G Summary'!$I$106="Not applicable", "Not Applicable"))))</f>
        <v>0</v>
      </c>
      <c r="I186" s="120">
        <f>IF('NZS O&amp;G Summary'!$J$106="Y",1,IF('NZS O&amp;G Summary'!$J$106="n",0,IF('NZS O&amp;G Summary'!$J$106="Under development","Under development",IF('NZS O&amp;G Summary'!$J$106="Not applicable", "Not Applicable"))))</f>
        <v>0</v>
      </c>
      <c r="J186" s="120">
        <f>IF('NZS O&amp;G Summary'!$K$106="Y",1,IF('NZS O&amp;G Summary'!$K$106="N",0,IF('NZS O&amp;G Summary'!$K$106="Under development","Under development",IF('NZS O&amp;G Summary'!$K$106="Not applicable", "Not Applicable"))))</f>
        <v>0</v>
      </c>
      <c r="K186" s="120">
        <f>IF('NZS O&amp;G Summary'!$L$106="Y",1,IF('NZS O&amp;G Summary'!$L$106="n",0,IF('NZS O&amp;G Summary'!$L$106="Under development","Under development",IF('NZS O&amp;G Summary'!$L$106="Not applicable", "Not Applicable"))))</f>
        <v>1</v>
      </c>
      <c r="L186" s="120">
        <f>IF('NZS O&amp;G Summary'!$M$106="Y",1,IF('NZS O&amp;G Summary'!$M$106="N",0,IF('NZS O&amp;G Summary'!$M$106="Under development","Under development",IF('NZS O&amp;G Summary'!$M$106="Not applicable", "Not Applicable"))))</f>
        <v>0</v>
      </c>
      <c r="M186" s="120">
        <f>IF('NZS O&amp;G Summary'!$N$106="Y",1,IF('NZS O&amp;G Summary'!$N$106="n",0,IF('NZS O&amp;G Summary'!$N$106="Under development","Under development",IF('NZS O&amp;G Summary'!$N$106="Not applicable", "Not Applicable"))))</f>
        <v>0</v>
      </c>
      <c r="N186" s="120">
        <f>IF('NZS O&amp;G Summary'!$O$106="Y",1,IF('NZS O&amp;G Summary'!$O$106="N",0,IF('NZS O&amp;G Summary'!$O$106="Under development","Under development",IF('NZS O&amp;G Summary'!$O$106="Not applicable", "Not Applicable"))))</f>
        <v>0</v>
      </c>
      <c r="O186" s="138"/>
      <c r="R186" s="50"/>
    </row>
    <row r="187" spans="2:18" s="40" customFormat="1" ht="15" customHeight="1" outlineLevel="2">
      <c r="B187" s="145" t="str">
        <f t="shared" si="46"/>
        <v>10.i.b</v>
      </c>
      <c r="C187" s="126" t="s">
        <v>507</v>
      </c>
      <c r="D187" s="127" t="s">
        <v>44</v>
      </c>
      <c r="E187" s="120">
        <f>IF('NZS O&amp;G Summary'!$F$107="Y",1,IF('NZS O&amp;G Summary'!$F$107="n",0,IF('NZS O&amp;G Summary'!$F$107="Under development","Under development",IF('NZS O&amp;G Summary'!$F$107="Not applicable", "Not Applicable"))))</f>
        <v>0</v>
      </c>
      <c r="F187" s="120">
        <f>IF('NZS O&amp;G Summary'!$G$107="y",1,IF('NZS O&amp;G Summary'!$G$107="n",0,IF('NZS O&amp;G Summary'!$G$107="Under development","Under development",IF('NZS O&amp;G Summary'!$G$107="Not applicable", "Not Applicable"))))</f>
        <v>0</v>
      </c>
      <c r="G187" s="120">
        <f>IF('NZS O&amp;G Summary'!$H$107="y",1,IF('NZS O&amp;G Summary'!$H$107="n",0,IF('NZS O&amp;G Summary'!$H$107="Under development","Under development",IF('NZS O&amp;G Summary'!$H$107="Not applicable", "Not Applicable"))))</f>
        <v>0</v>
      </c>
      <c r="H187" s="120">
        <f>IF('NZS O&amp;G Summary'!$I$107="y",1,IF('NZS O&amp;G Summary'!$I$107="N",0,IF('NZS O&amp;G Summary'!$I$107="Under development","Under development",IF('NZS O&amp;G Summary'!$I$107="Not applicable", "Not Applicable"))))</f>
        <v>0</v>
      </c>
      <c r="I187" s="120">
        <f>IF('NZS O&amp;G Summary'!$J$107="Y",1,IF('NZS O&amp;G Summary'!$J$107="n",0,IF('NZS O&amp;G Summary'!$J$107="Under development","Under development",IF('NZS O&amp;G Summary'!$J$107="Not applicable", "Not Applicable"))))</f>
        <v>0</v>
      </c>
      <c r="J187" s="120">
        <f>IF('NZS O&amp;G Summary'!$K$107="Y",1,IF('NZS O&amp;G Summary'!$K$107="N",0,IF('NZS O&amp;G Summary'!$K$107="Under development","Under development",IF('NZS O&amp;G Summary'!$K$107="Not applicable", "Not Applicable"))))</f>
        <v>0</v>
      </c>
      <c r="K187" s="120">
        <f>IF('NZS O&amp;G Summary'!$L$107="Y",1,IF('NZS O&amp;G Summary'!$L$107="n",0,IF('NZS O&amp;G Summary'!$L$107="Under development","Under development",IF('NZS O&amp;G Summary'!$L$107="Not applicable", "Not Applicable"))))</f>
        <v>0</v>
      </c>
      <c r="L187" s="120">
        <f>IF('NZS O&amp;G Summary'!$M$107="Y",1,IF('NZS O&amp;G Summary'!$M$107="N",0,IF('NZS O&amp;G Summary'!$M$107="Under development","Under development",IF('NZS O&amp;G Summary'!$M$107="Not applicable", "Not Applicable"))))</f>
        <v>0</v>
      </c>
      <c r="M187" s="120">
        <f>IF('NZS O&amp;G Summary'!$N$107="Y",1,IF('NZS O&amp;G Summary'!$N$107="n",0,IF('NZS O&amp;G Summary'!$N$107="Under development","Under development",IF('NZS O&amp;G Summary'!$N$107="Not applicable", "Not Applicable"))))</f>
        <v>0</v>
      </c>
      <c r="N187" s="120">
        <f>IF('NZS O&amp;G Summary'!$O$107="Y",1,IF('NZS O&amp;G Summary'!$O$107="N",0,IF('NZS O&amp;G Summary'!$O$107="Under development","Under development",IF('NZS O&amp;G Summary'!$O$107="Not applicable", "Not Applicable"))))</f>
        <v>0</v>
      </c>
      <c r="O187" s="138"/>
      <c r="R187" s="50"/>
    </row>
    <row r="188" spans="2:18" s="40" customFormat="1" ht="15" customHeight="1" outlineLevel="2">
      <c r="B188" s="145" t="str">
        <f t="shared" si="46"/>
        <v>10.i.c</v>
      </c>
      <c r="C188" s="126" t="s">
        <v>508</v>
      </c>
      <c r="D188" s="127" t="s">
        <v>44</v>
      </c>
      <c r="E188" s="120">
        <f>IF('NZS O&amp;G Summary'!$F$108="Y",1,IF('NZS O&amp;G Summary'!$F$108="n",0,IF('NZS O&amp;G Summary'!$F$108="Under development","Under development",IF('NZS O&amp;G Summary'!$F$108="Not applicable", "Not Applicable"))))</f>
        <v>0</v>
      </c>
      <c r="F188" s="120">
        <f>IF('NZS O&amp;G Summary'!$G$108="y",1,IF('NZS O&amp;G Summary'!$G$108="n",0,IF('NZS O&amp;G Summary'!$G$108="Under development","Under development",IF('NZS O&amp;G Summary'!$G$108="Not applicable", "Not Applicable"))))</f>
        <v>0</v>
      </c>
      <c r="G188" s="120">
        <f>IF('NZS O&amp;G Summary'!$H$108="y",1,IF('NZS O&amp;G Summary'!$H$108="n",0,IF('NZS O&amp;G Summary'!$H$108="Under development","Under development",IF('NZS O&amp;G Summary'!$H$108="Not applicable", "Not Applicable"))))</f>
        <v>0</v>
      </c>
      <c r="H188" s="120">
        <f>IF('NZS O&amp;G Summary'!$I$108="y",1,IF('NZS O&amp;G Summary'!$I$108="N",0,IF('NZS O&amp;G Summary'!$I$108="Under development","Under development",IF('NZS O&amp;G Summary'!$I$108="Not applicable", "Not Applicable"))))</f>
        <v>0</v>
      </c>
      <c r="I188" s="120">
        <f>IF('NZS O&amp;G Summary'!$J$108="Y",1,IF('NZS O&amp;G Summary'!$J$108="n",0,IF('NZS O&amp;G Summary'!$J$108="Under development","Under development",IF('NZS O&amp;G Summary'!$J$108="Not applicable", "Not Applicable"))))</f>
        <v>0</v>
      </c>
      <c r="J188" s="120">
        <f>IF('NZS O&amp;G Summary'!$K$108="Y",1,IF('NZS O&amp;G Summary'!$K$108="N",0,IF('NZS O&amp;G Summary'!$K$108="Under development","Under development",IF('NZS O&amp;G Summary'!$K$108="Not applicable", "Not Applicable"))))</f>
        <v>0</v>
      </c>
      <c r="K188" s="120">
        <f>IF('NZS O&amp;G Summary'!$L$108="Y",1,IF('NZS O&amp;G Summary'!$L$108="n",0,IF('NZS O&amp;G Summary'!$L$108="Under development","Under development",IF('NZS O&amp;G Summary'!$L$108="Not applicable", "Not Applicable"))))</f>
        <v>0</v>
      </c>
      <c r="L188" s="120">
        <f>IF('NZS O&amp;G Summary'!$M$108="Y",1,IF('NZS O&amp;G Summary'!$M$108="N",0,IF('NZS O&amp;G Summary'!$M$108="Under development","Under development",IF('NZS O&amp;G Summary'!$M$108="Not applicable", "Not Applicable"))))</f>
        <v>0</v>
      </c>
      <c r="M188" s="120">
        <f>IF('NZS O&amp;G Summary'!$N$108="Y",1,IF('NZS O&amp;G Summary'!$N$108="n",0,IF('NZS O&amp;G Summary'!$N$108="Under development","Under development",IF('NZS O&amp;G Summary'!$N$108="Not applicable", "Not Applicable"))))</f>
        <v>0</v>
      </c>
      <c r="N188" s="120">
        <f>IF('NZS O&amp;G Summary'!$O$108="Y",1,IF('NZS O&amp;G Summary'!$O$108="N",0,IF('NZS O&amp;G Summary'!$O$108="Under development","Under development",IF('NZS O&amp;G Summary'!$O$108="Not applicable", "Not Applicable"))))</f>
        <v>0</v>
      </c>
      <c r="O188" s="138"/>
      <c r="R188" s="50"/>
    </row>
    <row r="189" spans="2:18" s="40" customFormat="1" ht="15" customHeight="1" outlineLevel="2">
      <c r="B189" s="145" t="str">
        <f t="shared" si="46"/>
        <v>10.i.d</v>
      </c>
      <c r="C189" s="126" t="s">
        <v>509</v>
      </c>
      <c r="D189" s="127" t="s">
        <v>44</v>
      </c>
      <c r="E189" s="120">
        <f>IF('NZS O&amp;G Summary'!$F$109="Y",1,IF('NZS O&amp;G Summary'!$F$109="n",0,IF('NZS O&amp;G Summary'!$F$109="Under development","Under development",IF('NZS O&amp;G Summary'!$F$109="Not applicable", "Not Applicable"))))</f>
        <v>0</v>
      </c>
      <c r="F189" s="120">
        <f>IF('NZS O&amp;G Summary'!$G$109="y",1,IF('NZS O&amp;G Summary'!$G$109="n",0,IF('NZS O&amp;G Summary'!$G$109="Under development","Under development",IF('NZS O&amp;G Summary'!$G$109="Not applicable", "Not Applicable"))))</f>
        <v>1</v>
      </c>
      <c r="G189" s="120">
        <f>IF('NZS O&amp;G Summary'!$H$109="y",1,IF('NZS O&amp;G Summary'!$H$109="n",0,IF('NZS O&amp;G Summary'!$H$109="Under development","Under development",IF('NZS O&amp;G Summary'!$H$109="Not applicable", "Not Applicable"))))</f>
        <v>0</v>
      </c>
      <c r="H189" s="120">
        <f>IF('NZS O&amp;G Summary'!$I$109="y",1,IF('NZS O&amp;G Summary'!$I$109="N",0,IF('NZS O&amp;G Summary'!$I$109="Under development","Under development",IF('NZS O&amp;G Summary'!$I$109="Not applicable", "Not Applicable"))))</f>
        <v>1</v>
      </c>
      <c r="I189" s="120">
        <f>IF('NZS O&amp;G Summary'!$J$109="Y",1,IF('NZS O&amp;G Summary'!$J$109="n",0,IF('NZS O&amp;G Summary'!$J$109="Under development","Under development",IF('NZS O&amp;G Summary'!$J$109="Not applicable", "Not Applicable"))))</f>
        <v>0</v>
      </c>
      <c r="J189" s="120">
        <f>IF('NZS O&amp;G Summary'!$K$109="Y",1,IF('NZS O&amp;G Summary'!$K$109="N",0,IF('NZS O&amp;G Summary'!$K$109="Under development","Under development",IF('NZS O&amp;G Summary'!$K$109="Not applicable", "Not Applicable"))))</f>
        <v>0</v>
      </c>
      <c r="K189" s="120">
        <f>IF('NZS O&amp;G Summary'!$L$109="Y",1,IF('NZS O&amp;G Summary'!$L$109="n",0,IF('NZS O&amp;G Summary'!$L$109="Under development","Under development",IF('NZS O&amp;G Summary'!$L$109="Not applicable", "Not Applicable"))))</f>
        <v>0</v>
      </c>
      <c r="L189" s="120">
        <f>IF('NZS O&amp;G Summary'!$M$109="Y",1,IF('NZS O&amp;G Summary'!$M$109="N",0,IF('NZS O&amp;G Summary'!$M$109="Under development","Under development",IF('NZS O&amp;G Summary'!$M$109="Not applicable", "Not Applicable"))))</f>
        <v>0</v>
      </c>
      <c r="M189" s="120">
        <f>IF('NZS O&amp;G Summary'!$N$109="Y",1,IF('NZS O&amp;G Summary'!$N$109="n",0,IF('NZS O&amp;G Summary'!$N$109="Under development","Under development",IF('NZS O&amp;G Summary'!$N$109="Not applicable", "Not Applicable"))))</f>
        <v>0</v>
      </c>
      <c r="N189" s="120">
        <f>IF('NZS O&amp;G Summary'!$O$109="Y",1,IF('NZS O&amp;G Summary'!$O$109="N",0,IF('NZS O&amp;G Summary'!$O$109="Under development","Under development",IF('NZS O&amp;G Summary'!$O$109="Not applicable", "Not Applicable"))))</f>
        <v>0</v>
      </c>
      <c r="O189" s="138"/>
      <c r="R189" s="50"/>
    </row>
    <row r="190" spans="2:18" s="40" customFormat="1" ht="15" customHeight="1" outlineLevel="1">
      <c r="B190" s="145" t="str">
        <f t="shared" si="46"/>
        <v>10.ii</v>
      </c>
      <c r="C190" s="135" t="s">
        <v>510</v>
      </c>
      <c r="D190" s="134" t="s">
        <v>81</v>
      </c>
      <c r="E190" s="120">
        <f>AVERAGE(E191:E193)</f>
        <v>0.66666666666666663</v>
      </c>
      <c r="F190" s="120">
        <f t="shared" ref="F190:N190" si="48">AVERAGE(F191:F193)</f>
        <v>0.66666666666666663</v>
      </c>
      <c r="G190" s="120">
        <f t="shared" si="48"/>
        <v>0.33333333333333331</v>
      </c>
      <c r="H190" s="120">
        <f t="shared" si="48"/>
        <v>1</v>
      </c>
      <c r="I190" s="120">
        <f t="shared" si="48"/>
        <v>0</v>
      </c>
      <c r="J190" s="120">
        <f t="shared" si="48"/>
        <v>0.33333333333333331</v>
      </c>
      <c r="K190" s="120">
        <f t="shared" si="48"/>
        <v>0.33333333333333331</v>
      </c>
      <c r="L190" s="120">
        <f t="shared" si="48"/>
        <v>1</v>
      </c>
      <c r="M190" s="120">
        <f t="shared" si="48"/>
        <v>0</v>
      </c>
      <c r="N190" s="120">
        <f t="shared" si="48"/>
        <v>0.33333333333333331</v>
      </c>
      <c r="O190" s="138"/>
      <c r="R190" s="50"/>
    </row>
    <row r="191" spans="2:18" s="40" customFormat="1" ht="15" customHeight="1" outlineLevel="2">
      <c r="B191" s="145" t="str">
        <f t="shared" si="46"/>
        <v>10.ii.a</v>
      </c>
      <c r="C191" s="126" t="s">
        <v>511</v>
      </c>
      <c r="D191" s="127" t="s">
        <v>44</v>
      </c>
      <c r="E191" s="120">
        <f>IF('NZS O&amp;G Summary'!$F$111="Y",1,IF('NZS O&amp;G Summary'!$F$111="n",0,IF('NZS O&amp;G Summary'!$F$111="Under development","Under development",IF('NZS O&amp;G Summary'!$F$111="Not applicable", "Not Applicable"))))</f>
        <v>1</v>
      </c>
      <c r="F191" s="120">
        <f>IF('NZS O&amp;G Summary'!$G$111="y",1,IF('NZS O&amp;G Summary'!$G$111="n",0,IF('NZS O&amp;G Summary'!$G$111="Under development","Under development",IF('NZS O&amp;G Summary'!$G$111="Not applicable", "Not Applicable"))))</f>
        <v>1</v>
      </c>
      <c r="G191" s="120">
        <f>IF('NZS O&amp;G Summary'!$H$111="y",1,IF('NZS O&amp;G Summary'!$H$111="n",0,IF('NZS O&amp;G Summary'!$H$111="Under development","Under development",IF('NZS O&amp;G Summary'!$H$111="Not applicable", "Not Applicable"))))</f>
        <v>0</v>
      </c>
      <c r="H191" s="120">
        <f>IF('NZS O&amp;G Summary'!$I$111="y",1,IF('NZS O&amp;G Summary'!$I$111="N",0,IF('NZS O&amp;G Summary'!$I$111="Under development","Under development",IF('NZS O&amp;G Summary'!$I$111="Not applicable", "Not Applicable"))))</f>
        <v>1</v>
      </c>
      <c r="I191" s="120">
        <f>IF('NZS O&amp;G Summary'!$J$111="Y",1,IF('NZS O&amp;G Summary'!$J$111="n",0,IF('NZS O&amp;G Summary'!$J$111="Under development","Under development",IF('NZS O&amp;G Summary'!$J$111="Not applicable", "Not Applicable"))))</f>
        <v>0</v>
      </c>
      <c r="J191" s="120">
        <f>IF('NZS O&amp;G Summary'!$K$111="Y",1,IF('NZS O&amp;G Summary'!$K$111="N",0,IF('NZS O&amp;G Summary'!$K$111="Under development","Under development",IF('NZS O&amp;G Summary'!$K$111="Not applicable", "Not Applicable"))))</f>
        <v>0</v>
      </c>
      <c r="K191" s="120">
        <f>IF('NZS O&amp;G Summary'!$L$111="Y",1,IF('NZS O&amp;G Summary'!$L$111="n",0,IF('NZS O&amp;G Summary'!$L$111="Under development","Under development",IF('NZS O&amp;G Summary'!$L$111="Not applicable", "Not Applicable"))))</f>
        <v>1</v>
      </c>
      <c r="L191" s="120">
        <f>IF('NZS O&amp;G Summary'!$M$111="Y",1,IF('NZS O&amp;G Summary'!$M$111="N",0,IF('NZS O&amp;G Summary'!$M$111="Under development","Under development",IF('NZS O&amp;G Summary'!$M$111="Not applicable", "Not Applicable"))))</f>
        <v>1</v>
      </c>
      <c r="M191" s="120">
        <f>IF('NZS O&amp;G Summary'!$N$111="Y",1,IF('NZS O&amp;G Summary'!$N$111="n",0,IF('NZS O&amp;G Summary'!$N$111="Under development","Under development",IF('NZS O&amp;G Summary'!$N$111="Not applicable", "Not Applicable"))))</f>
        <v>0</v>
      </c>
      <c r="N191" s="120">
        <f>IF('NZS O&amp;G Summary'!$O$111="Y",1,IF('NZS O&amp;G Summary'!$O$111="N",0,IF('NZS O&amp;G Summary'!$O$111="Under development","Under development",IF('NZS O&amp;G Summary'!$O$111="Not applicable", "Not Applicable"))))</f>
        <v>0</v>
      </c>
      <c r="O191" s="138"/>
      <c r="R191" s="50"/>
    </row>
    <row r="192" spans="2:18" s="40" customFormat="1" ht="15" customHeight="1" outlineLevel="2">
      <c r="B192" s="145" t="str">
        <f t="shared" si="46"/>
        <v>10.ii.b</v>
      </c>
      <c r="C192" s="126" t="s">
        <v>512</v>
      </c>
      <c r="D192" s="127" t="s">
        <v>44</v>
      </c>
      <c r="E192" s="120">
        <f>IF('NZS O&amp;G Summary'!$F$112="Y",1,IF('NZS O&amp;G Summary'!$F$112="n",0,IF('NZS O&amp;G Summary'!$F$112="Under development","Under development",IF('NZS O&amp;G Summary'!$F$112="Not applicable", "Not Applicable"))))</f>
        <v>1</v>
      </c>
      <c r="F192" s="120">
        <f>IF('NZS O&amp;G Summary'!$G$112="y",1,IF('NZS O&amp;G Summary'!$G$112="n",0,IF('NZS O&amp;G Summary'!$G$112="Under development","Under development",IF('NZS O&amp;G Summary'!$G$112="Not applicable", "Not Applicable"))))</f>
        <v>1</v>
      </c>
      <c r="G192" s="120">
        <f>IF('NZS O&amp;G Summary'!$H$112="y",1,IF('NZS O&amp;G Summary'!$H$112="n",0,IF('NZS O&amp;G Summary'!$H$112="Under development","Under development",IF('NZS O&amp;G Summary'!$H$112="Not applicable", "Not Applicable"))))</f>
        <v>1</v>
      </c>
      <c r="H192" s="120">
        <f>IF('NZS O&amp;G Summary'!$I$112="y",1,IF('NZS O&amp;G Summary'!$I$112="N",0,IF('NZS O&amp;G Summary'!$I$112="Under development","Under development",IF('NZS O&amp;G Summary'!$I$112="Not applicable", "Not Applicable"))))</f>
        <v>1</v>
      </c>
      <c r="I192" s="120">
        <f>IF('NZS O&amp;G Summary'!$J$112="Y",1,IF('NZS O&amp;G Summary'!$J$112="n",0,IF('NZS O&amp;G Summary'!$J$112="Under development","Under development",IF('NZS O&amp;G Summary'!$J$112="Not applicable", "Not Applicable"))))</f>
        <v>0</v>
      </c>
      <c r="J192" s="120">
        <f>IF('NZS O&amp;G Summary'!$K$112="Y",1,IF('NZS O&amp;G Summary'!$K$112="N",0,IF('NZS O&amp;G Summary'!$K$112="Under development","Under development",IF('NZS O&amp;G Summary'!$K$112="Not applicable", "Not Applicable"))))</f>
        <v>1</v>
      </c>
      <c r="K192" s="120">
        <f>IF('NZS O&amp;G Summary'!$L$112="Y",1,IF('NZS O&amp;G Summary'!$L$112="n",0,IF('NZS O&amp;G Summary'!$L$112="Under development","Under development",IF('NZS O&amp;G Summary'!$L$112="Not applicable", "Not Applicable"))))</f>
        <v>0</v>
      </c>
      <c r="L192" s="120">
        <f>IF('NZS O&amp;G Summary'!$M$112="Y",1,IF('NZS O&amp;G Summary'!$M$112="N",0,IF('NZS O&amp;G Summary'!$M$112="Under development","Under development",IF('NZS O&amp;G Summary'!$M$112="Not applicable", "Not Applicable"))))</f>
        <v>1</v>
      </c>
      <c r="M192" s="120">
        <f>IF('NZS O&amp;G Summary'!$N$112="Y",1,IF('NZS O&amp;G Summary'!$N$112="n",0,IF('NZS O&amp;G Summary'!$N$112="Under development","Under development",IF('NZS O&amp;G Summary'!$N$112="Not applicable", "Not Applicable"))))</f>
        <v>0</v>
      </c>
      <c r="N192" s="120">
        <f>IF('NZS O&amp;G Summary'!$O$112="Y",1,IF('NZS O&amp;G Summary'!$O$112="N",0,IF('NZS O&amp;G Summary'!$O$112="Under development","Under development",IF('NZS O&amp;G Summary'!$O$112="Not applicable", "Not Applicable"))))</f>
        <v>1</v>
      </c>
      <c r="O192" s="138"/>
      <c r="R192" s="50"/>
    </row>
    <row r="193" spans="2:18" s="40" customFormat="1" ht="15" customHeight="1" outlineLevel="2">
      <c r="B193" s="145" t="str">
        <f t="shared" si="46"/>
        <v>10.ii.c</v>
      </c>
      <c r="C193" s="126" t="s">
        <v>513</v>
      </c>
      <c r="D193" s="127" t="s">
        <v>44</v>
      </c>
      <c r="E193" s="120">
        <f>IF('NZS O&amp;G Summary'!$F$113="Y",1,IF('NZS O&amp;G Summary'!$F$113="n",0,IF('NZS O&amp;G Summary'!$F$113="Under development","Under development",IF('NZS O&amp;G Summary'!$F$113="Not applicable", "Not Applicable"))))</f>
        <v>0</v>
      </c>
      <c r="F193" s="120">
        <f>IF('NZS O&amp;G Summary'!$G$113="y",1,IF('NZS O&amp;G Summary'!$G$113="n",0,IF('NZS O&amp;G Summary'!$G$113="Under development","Under development",IF('NZS O&amp;G Summary'!$G$113="Not applicable", "Not Applicable"))))</f>
        <v>0</v>
      </c>
      <c r="G193" s="120">
        <f>IF('NZS O&amp;G Summary'!$H$113="y",1,IF('NZS O&amp;G Summary'!$H$113="n",0,IF('NZS O&amp;G Summary'!$H$113="Under development","Under development",IF('NZS O&amp;G Summary'!$H$113="Not applicable", "Not Applicable"))))</f>
        <v>0</v>
      </c>
      <c r="H193" s="120">
        <f>IF('NZS O&amp;G Summary'!$I$113="y",1,IF('NZS O&amp;G Summary'!$I$113="N",0,IF('NZS O&amp;G Summary'!$I$113="Under development","Under development",IF('NZS O&amp;G Summary'!$I$113="Not applicable", "Not Applicable"))))</f>
        <v>1</v>
      </c>
      <c r="I193" s="120">
        <f>IF('NZS O&amp;G Summary'!$J$113="Y",1,IF('NZS O&amp;G Summary'!$J$113="n",0,IF('NZS O&amp;G Summary'!$J$113="Under development","Under development",IF('NZS O&amp;G Summary'!$J$113="Not applicable", "Not Applicable"))))</f>
        <v>0</v>
      </c>
      <c r="J193" s="120">
        <f>IF('NZS O&amp;G Summary'!$K$113="Y",1,IF('NZS O&amp;G Summary'!$K$113="N",0,IF('NZS O&amp;G Summary'!$K$113="Under development","Under development",IF('NZS O&amp;G Summary'!$K$113="Not applicable", "Not Applicable"))))</f>
        <v>0</v>
      </c>
      <c r="K193" s="120">
        <f>IF('NZS O&amp;G Summary'!$L$113="Y",1,IF('NZS O&amp;G Summary'!$L$113="n",0,IF('NZS O&amp;G Summary'!$L$113="Under development","Under development",IF('NZS O&amp;G Summary'!$L$113="Not applicable", "Not Applicable"))))</f>
        <v>0</v>
      </c>
      <c r="L193" s="120">
        <f>IF('NZS O&amp;G Summary'!$M$113="Y",1,IF('NZS O&amp;G Summary'!$M$113="N",0,IF('NZS O&amp;G Summary'!$M$113="Under development","Under development",IF('NZS O&amp;G Summary'!$M$113="Not applicable", "Not Applicable"))))</f>
        <v>1</v>
      </c>
      <c r="M193" s="120">
        <f>IF('NZS O&amp;G Summary'!$N$113="Y",1,IF('NZS O&amp;G Summary'!$N$113="n",0,IF('NZS O&amp;G Summary'!$N$113="Under development","Under development",IF('NZS O&amp;G Summary'!$N$113="Not applicable", "Not Applicable"))))</f>
        <v>0</v>
      </c>
      <c r="N193" s="120">
        <f>IF('NZS O&amp;G Summary'!$O$113="Y",1,IF('NZS O&amp;G Summary'!$O$113="N",0,IF('NZS O&amp;G Summary'!$O$113="Under development","Under development",IF('NZS O&amp;G Summary'!$O$113="Not applicable", "Not Applicable"))))</f>
        <v>0</v>
      </c>
      <c r="O193" s="138"/>
      <c r="R193" s="50"/>
    </row>
    <row r="194" spans="2:18" s="40" customFormat="1" ht="15" customHeight="1" outlineLevel="2">
      <c r="B194" s="145"/>
      <c r="C194" s="137"/>
      <c r="D194" s="94"/>
      <c r="E194" s="120"/>
      <c r="F194" s="120"/>
      <c r="G194" s="120"/>
      <c r="H194" s="120"/>
      <c r="I194" s="120"/>
      <c r="J194" s="120"/>
      <c r="K194" s="120"/>
      <c r="L194" s="120"/>
      <c r="M194" s="120"/>
      <c r="N194" s="120"/>
      <c r="O194" s="138"/>
      <c r="R194" s="50"/>
    </row>
    <row r="195" spans="2:18" s="40" customFormat="1" ht="15" customHeight="1" thickBot="1">
      <c r="B195" s="153" t="s">
        <v>81</v>
      </c>
      <c r="C195" s="75" t="s">
        <v>81</v>
      </c>
      <c r="D195" s="75" t="s">
        <v>81</v>
      </c>
      <c r="E195" s="76" t="s">
        <v>81</v>
      </c>
      <c r="F195" s="76" t="s">
        <v>81</v>
      </c>
      <c r="G195" s="76" t="s">
        <v>81</v>
      </c>
      <c r="H195" s="76" t="s">
        <v>81</v>
      </c>
      <c r="I195" s="76" t="s">
        <v>81</v>
      </c>
      <c r="J195" s="76" t="s">
        <v>81</v>
      </c>
      <c r="K195" s="76"/>
      <c r="L195" s="76"/>
      <c r="M195" s="76"/>
      <c r="N195" s="76"/>
      <c r="O195" s="139" t="s">
        <v>81</v>
      </c>
      <c r="R195" s="50"/>
    </row>
    <row r="197" spans="2:18" s="40" customFormat="1">
      <c r="B197" s="141"/>
    </row>
    <row r="198" spans="2:18" s="40" customFormat="1">
      <c r="B198" s="141"/>
    </row>
    <row r="199" spans="2:18" s="40" customFormat="1">
      <c r="B199" s="141"/>
    </row>
    <row r="200" spans="2:18" s="40" customFormat="1">
      <c r="B200" s="141"/>
    </row>
    <row r="201" spans="2:18" s="40" customFormat="1">
      <c r="B201" s="141"/>
    </row>
    <row r="202" spans="2:18" s="40" customFormat="1">
      <c r="B202" s="141"/>
    </row>
    <row r="203" spans="2:18" s="40" customFormat="1">
      <c r="B203" s="141"/>
    </row>
  </sheetData>
  <sheetProtection sheet="1" objects="1" scenarios="1"/>
  <mergeCells count="2">
    <mergeCell ref="B3:C3"/>
    <mergeCell ref="H1:O1"/>
  </mergeCells>
  <conditionalFormatting sqref="E5:N5 E7:N9 E12:N12 E15:N22 E25:N25 E27:N35 E38:N38 E40:N44 E47:N47 E49:N107 E110:N110 E112:N138 E141:N141 E143:N149 E152:N152 E154:N162 E165:N165 E167:N174 E177:N177 E179:N193">
    <cfRule type="cellIs" dxfId="95" priority="1" operator="between">
      <formula>0.2</formula>
      <formula>0.399</formula>
    </cfRule>
    <cfRule type="cellIs" dxfId="94" priority="2" operator="equal">
      <formula>1</formula>
    </cfRule>
    <cfRule type="cellIs" dxfId="93" priority="3" operator="between">
      <formula>0.8</formula>
      <formula>0.999</formula>
    </cfRule>
    <cfRule type="cellIs" dxfId="92" priority="4" operator="between">
      <formula>0.6</formula>
      <formula>0.799</formula>
    </cfRule>
    <cfRule type="cellIs" dxfId="91" priority="5" operator="between">
      <formula>0.4</formula>
      <formula>0.599</formula>
    </cfRule>
    <cfRule type="cellIs" dxfId="90" priority="6" operator="between">
      <formula>0</formula>
      <formula>0.199</formula>
    </cfRule>
  </conditionalFormatting>
  <conditionalFormatting sqref="E5:N194">
    <cfRule type="cellIs" dxfId="89" priority="271" operator="equal">
      <formula>"Under development"</formula>
    </cfRule>
    <cfRule type="cellIs" dxfId="88" priority="272" operator="equal">
      <formula>"Not Applicable"</formula>
    </cfRule>
  </conditionalFormatting>
  <conditionalFormatting sqref="O73:O106">
    <cfRule type="cellIs" dxfId="87" priority="12" operator="equal">
      <formula>"Y"</formula>
    </cfRule>
    <cfRule type="cellIs" dxfId="86" priority="13" operator="equal">
      <formula>"No"</formula>
    </cfRule>
    <cfRule type="cellIs" dxfId="85" priority="14" operator="equal">
      <formula>"N"</formula>
    </cfRule>
    <cfRule type="cellIs" dxfId="84" priority="15" operator="equal">
      <formula>"Not Relevant"</formula>
    </cfRule>
    <cfRule type="cellIs" dxfId="83" priority="16" operator="equal">
      <formula>"Yes"</formula>
    </cfRule>
    <cfRule type="cellIs" dxfId="82" priority="17" operator="equal">
      <formula>"Not Operational"</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6568-88D2-4C99-ABBA-B6EDF3D3CF3D}">
  <sheetPr>
    <tabColor rgb="FF00B0F0"/>
  </sheetPr>
  <dimension ref="A1:AL118"/>
  <sheetViews>
    <sheetView zoomScale="85" zoomScaleNormal="85" workbookViewId="0">
      <pane xSplit="5" ySplit="3" topLeftCell="G66" activePane="bottomRight" state="frozen"/>
      <selection pane="topRight" activeCell="F1" sqref="F1"/>
      <selection pane="bottomLeft" activeCell="A4" sqref="A4"/>
      <selection pane="bottomRight"/>
    </sheetView>
  </sheetViews>
  <sheetFormatPr defaultColWidth="0" defaultRowHeight="0" customHeight="1" zeroHeight="1"/>
  <cols>
    <col min="1" max="1" width="11.81640625" style="202" customWidth="1"/>
    <col min="2" max="2" width="5.54296875" style="202" customWidth="1"/>
    <col min="3" max="3" width="14.1796875" style="202" customWidth="1"/>
    <col min="4" max="4" width="13" style="202" customWidth="1"/>
    <col min="5" max="5" width="70.54296875" style="202" customWidth="1"/>
    <col min="6" max="15" width="13.54296875" style="202" customWidth="1"/>
    <col min="16" max="16" width="8.7265625" style="201" customWidth="1"/>
    <col min="17" max="17" width="8.7265625" style="202" hidden="1" customWidth="1"/>
    <col min="18" max="38" width="0" style="202" hidden="1" customWidth="1"/>
    <col min="39" max="16384" width="8.7265625" style="202" hidden="1"/>
  </cols>
  <sheetData>
    <row r="1" spans="1:15" s="201" customFormat="1" ht="59.5" customHeight="1" thickBot="1">
      <c r="I1" s="349"/>
      <c r="J1" s="349"/>
      <c r="K1" s="349"/>
      <c r="L1" s="349"/>
      <c r="M1" s="349"/>
      <c r="N1" s="349"/>
      <c r="O1" s="349"/>
    </row>
    <row r="2" spans="1:15" s="201" customFormat="1" ht="15" hidden="1" thickBot="1">
      <c r="B2" s="218"/>
      <c r="C2" s="218"/>
      <c r="D2" s="218"/>
      <c r="E2" s="218"/>
      <c r="F2" s="388" t="s">
        <v>514</v>
      </c>
      <c r="G2" s="388"/>
      <c r="H2" s="388"/>
      <c r="I2" s="388"/>
      <c r="J2" s="388"/>
      <c r="K2" s="388"/>
      <c r="L2" s="388"/>
      <c r="M2" s="388"/>
      <c r="N2" s="388"/>
      <c r="O2" s="388"/>
    </row>
    <row r="3" spans="1:15" ht="92.15" customHeight="1">
      <c r="A3" s="338" t="s">
        <v>515</v>
      </c>
      <c r="B3" s="387" t="s">
        <v>516</v>
      </c>
      <c r="C3" s="387"/>
      <c r="D3" s="330" t="s">
        <v>392</v>
      </c>
      <c r="E3" s="330" t="s">
        <v>517</v>
      </c>
      <c r="F3" s="329" t="s">
        <v>47</v>
      </c>
      <c r="G3" s="258" t="s">
        <v>49</v>
      </c>
      <c r="H3" s="258" t="s">
        <v>51</v>
      </c>
      <c r="I3" s="258" t="s">
        <v>52</v>
      </c>
      <c r="J3" s="258" t="s">
        <v>53</v>
      </c>
      <c r="K3" s="258" t="s">
        <v>54</v>
      </c>
      <c r="L3" s="258" t="s">
        <v>55</v>
      </c>
      <c r="M3" s="258" t="s">
        <v>56</v>
      </c>
      <c r="N3" s="258" t="s">
        <v>57</v>
      </c>
      <c r="O3" s="258" t="s">
        <v>58</v>
      </c>
    </row>
    <row r="4" spans="1:15" ht="15" thickBot="1">
      <c r="A4" s="201"/>
      <c r="B4" s="201"/>
      <c r="C4" s="201"/>
      <c r="D4" s="201"/>
      <c r="E4" s="201"/>
      <c r="F4" s="201"/>
      <c r="G4" s="201"/>
      <c r="H4" s="201"/>
      <c r="I4" s="201"/>
      <c r="J4" s="201"/>
      <c r="K4" s="201"/>
      <c r="L4" s="201"/>
      <c r="M4" s="201"/>
      <c r="N4" s="201"/>
      <c r="O4" s="201"/>
    </row>
    <row r="5" spans="1:15" ht="15" thickBot="1">
      <c r="A5" s="169" t="s">
        <v>518</v>
      </c>
      <c r="B5" s="170"/>
      <c r="C5" s="170"/>
      <c r="D5" s="170"/>
      <c r="E5" s="170"/>
      <c r="F5" s="171">
        <f>COUNTIF(F10:F113,"Y")</f>
        <v>19</v>
      </c>
      <c r="G5" s="171">
        <f t="shared" ref="G5:O5" si="0">COUNTIF(G10:G113,"Y")</f>
        <v>9</v>
      </c>
      <c r="H5" s="171">
        <f t="shared" si="0"/>
        <v>7</v>
      </c>
      <c r="I5" s="171">
        <f>COUNTIF(I10:I113,"Y")</f>
        <v>21</v>
      </c>
      <c r="J5" s="171">
        <f>COUNTIF(J10:J113,"Y")</f>
        <v>3</v>
      </c>
      <c r="K5" s="171">
        <f>COUNTIF(K10:K113,"Y")</f>
        <v>4</v>
      </c>
      <c r="L5" s="171">
        <f t="shared" si="0"/>
        <v>20</v>
      </c>
      <c r="M5" s="171">
        <f t="shared" si="0"/>
        <v>14</v>
      </c>
      <c r="N5" s="171">
        <f t="shared" si="0"/>
        <v>0</v>
      </c>
      <c r="O5" s="172">
        <f t="shared" si="0"/>
        <v>34</v>
      </c>
    </row>
    <row r="6" spans="1:15" ht="15" thickBot="1">
      <c r="A6" s="201"/>
      <c r="B6" s="201"/>
      <c r="C6" s="201"/>
      <c r="D6" s="201"/>
      <c r="E6" s="201"/>
      <c r="F6" s="201"/>
      <c r="G6" s="201"/>
      <c r="H6" s="201"/>
      <c r="I6" s="201"/>
      <c r="J6" s="201"/>
      <c r="K6" s="201"/>
      <c r="L6" s="201"/>
      <c r="M6" s="201"/>
      <c r="N6" s="201"/>
      <c r="O6" s="201"/>
    </row>
    <row r="7" spans="1:15" ht="15" thickBot="1">
      <c r="A7" s="335">
        <v>1</v>
      </c>
      <c r="B7" s="324" t="s">
        <v>519</v>
      </c>
      <c r="C7" s="324"/>
      <c r="D7" s="324"/>
      <c r="E7" s="324"/>
      <c r="F7" s="324"/>
      <c r="G7" s="324"/>
      <c r="H7" s="324"/>
      <c r="I7" s="324"/>
      <c r="J7" s="324"/>
      <c r="K7" s="324"/>
      <c r="L7" s="324"/>
      <c r="M7" s="324"/>
      <c r="N7" s="324"/>
      <c r="O7" s="324"/>
    </row>
    <row r="8" spans="1:15" ht="15" thickBot="1">
      <c r="A8" s="333"/>
      <c r="B8" s="201"/>
      <c r="C8" s="201"/>
      <c r="D8" s="201"/>
      <c r="E8" s="201"/>
      <c r="F8" s="201"/>
      <c r="G8" s="201"/>
      <c r="H8" s="201"/>
      <c r="I8" s="201"/>
      <c r="J8" s="201"/>
      <c r="K8" s="201"/>
      <c r="L8" s="201"/>
      <c r="M8" s="201"/>
      <c r="N8" s="201"/>
      <c r="O8" s="201"/>
    </row>
    <row r="9" spans="1:15" ht="15" thickBot="1">
      <c r="A9" s="335">
        <v>2</v>
      </c>
      <c r="B9" s="324" t="s">
        <v>520</v>
      </c>
      <c r="C9" s="324"/>
      <c r="D9" s="324"/>
      <c r="E9" s="324"/>
      <c r="F9" s="324"/>
      <c r="G9" s="324"/>
      <c r="H9" s="324"/>
      <c r="I9" s="324"/>
      <c r="J9" s="324"/>
      <c r="K9" s="324"/>
      <c r="L9" s="324"/>
      <c r="M9" s="324"/>
      <c r="N9" s="324"/>
      <c r="O9" s="324"/>
    </row>
    <row r="10" spans="1:15" ht="25.5" customHeight="1" thickBot="1">
      <c r="A10" s="264"/>
      <c r="B10" s="331" t="s">
        <v>271</v>
      </c>
      <c r="C10" s="260" t="s">
        <v>521</v>
      </c>
      <c r="D10" s="265" t="s">
        <v>45</v>
      </c>
      <c r="E10" s="260" t="s">
        <v>522</v>
      </c>
      <c r="F10" s="341" t="s">
        <v>93</v>
      </c>
      <c r="G10" s="341" t="s">
        <v>93</v>
      </c>
      <c r="H10" s="341" t="s">
        <v>93</v>
      </c>
      <c r="I10" s="341" t="s">
        <v>93</v>
      </c>
      <c r="J10" s="341" t="s">
        <v>93</v>
      </c>
      <c r="K10" s="341" t="s">
        <v>93</v>
      </c>
      <c r="L10" s="341" t="s">
        <v>93</v>
      </c>
      <c r="M10" s="341" t="s">
        <v>93</v>
      </c>
      <c r="N10" s="341" t="s">
        <v>93</v>
      </c>
      <c r="O10" s="341" t="s">
        <v>93</v>
      </c>
    </row>
    <row r="11" spans="1:15" ht="25.5" customHeight="1" thickBot="1">
      <c r="A11" s="264"/>
      <c r="B11" s="332" t="s">
        <v>274</v>
      </c>
      <c r="C11" s="168" t="s">
        <v>523</v>
      </c>
      <c r="D11" s="264" t="s">
        <v>44</v>
      </c>
      <c r="E11" s="168" t="s">
        <v>524</v>
      </c>
      <c r="F11" s="341" t="s">
        <v>67</v>
      </c>
      <c r="G11" s="341" t="s">
        <v>69</v>
      </c>
      <c r="H11" s="341" t="s">
        <v>525</v>
      </c>
      <c r="I11" s="341" t="s">
        <v>69</v>
      </c>
      <c r="J11" s="341" t="s">
        <v>69</v>
      </c>
      <c r="K11" s="341" t="s">
        <v>525</v>
      </c>
      <c r="L11" s="341" t="s">
        <v>69</v>
      </c>
      <c r="M11" s="341" t="s">
        <v>69</v>
      </c>
      <c r="N11" s="341" t="s">
        <v>525</v>
      </c>
      <c r="O11" s="341" t="s">
        <v>69</v>
      </c>
    </row>
    <row r="12" spans="1:15" ht="25.5" customHeight="1" thickBot="1">
      <c r="A12" s="264"/>
      <c r="B12" s="332" t="s">
        <v>275</v>
      </c>
      <c r="C12" s="168"/>
      <c r="D12" s="264" t="s">
        <v>45</v>
      </c>
      <c r="E12" s="168" t="s">
        <v>526</v>
      </c>
      <c r="F12" s="341" t="s">
        <v>93</v>
      </c>
      <c r="G12" s="341" t="s">
        <v>93</v>
      </c>
      <c r="H12" s="341" t="s">
        <v>93</v>
      </c>
      <c r="I12" s="341" t="s">
        <v>93</v>
      </c>
      <c r="J12" s="341" t="s">
        <v>93</v>
      </c>
      <c r="K12" s="341" t="s">
        <v>93</v>
      </c>
      <c r="L12" s="341" t="s">
        <v>93</v>
      </c>
      <c r="M12" s="341" t="s">
        <v>93</v>
      </c>
      <c r="N12" s="341" t="s">
        <v>93</v>
      </c>
      <c r="O12" s="341" t="s">
        <v>93</v>
      </c>
    </row>
    <row r="13" spans="1:15" ht="25.5" customHeight="1" thickBot="1">
      <c r="A13" s="333"/>
      <c r="B13" s="201"/>
      <c r="C13" s="201"/>
      <c r="D13" s="201"/>
      <c r="E13" s="201"/>
      <c r="F13" s="342"/>
      <c r="G13" s="342"/>
      <c r="H13" s="342"/>
      <c r="I13" s="342"/>
      <c r="J13" s="342"/>
      <c r="K13" s="342"/>
      <c r="L13" s="342"/>
      <c r="M13" s="342"/>
      <c r="N13" s="342"/>
      <c r="O13" s="342"/>
    </row>
    <row r="14" spans="1:15" ht="25.5" customHeight="1" thickBot="1">
      <c r="A14" s="335">
        <v>3</v>
      </c>
      <c r="B14" s="324" t="s">
        <v>527</v>
      </c>
      <c r="C14" s="324"/>
      <c r="D14" s="324"/>
      <c r="E14" s="324"/>
      <c r="F14" s="324"/>
      <c r="G14" s="324"/>
      <c r="H14" s="324"/>
      <c r="I14" s="324"/>
      <c r="J14" s="324"/>
      <c r="K14" s="324"/>
      <c r="L14" s="324"/>
      <c r="M14" s="324"/>
      <c r="N14" s="324"/>
      <c r="O14" s="324"/>
    </row>
    <row r="15" spans="1:15" ht="25.5" customHeight="1" thickBot="1">
      <c r="A15" s="264"/>
      <c r="B15" s="331" t="s">
        <v>280</v>
      </c>
      <c r="C15" s="260" t="s">
        <v>521</v>
      </c>
      <c r="D15" s="265" t="s">
        <v>45</v>
      </c>
      <c r="E15" s="260" t="s">
        <v>528</v>
      </c>
      <c r="F15" s="341" t="s">
        <v>93</v>
      </c>
      <c r="G15" s="341" t="s">
        <v>93</v>
      </c>
      <c r="H15" s="341" t="s">
        <v>93</v>
      </c>
      <c r="I15" s="341" t="s">
        <v>93</v>
      </c>
      <c r="J15" s="341" t="s">
        <v>93</v>
      </c>
      <c r="K15" s="341" t="s">
        <v>93</v>
      </c>
      <c r="L15" s="341" t="s">
        <v>93</v>
      </c>
      <c r="M15" s="341" t="s">
        <v>93</v>
      </c>
      <c r="N15" s="341" t="s">
        <v>93</v>
      </c>
      <c r="O15" s="341" t="s">
        <v>93</v>
      </c>
    </row>
    <row r="16" spans="1:15" ht="25.5" customHeight="1" thickBot="1">
      <c r="A16" s="264"/>
      <c r="B16" s="332" t="s">
        <v>282</v>
      </c>
      <c r="C16" s="168" t="s">
        <v>523</v>
      </c>
      <c r="D16" s="264" t="s">
        <v>44</v>
      </c>
      <c r="E16" s="168" t="s">
        <v>524</v>
      </c>
      <c r="F16" s="341" t="s">
        <v>67</v>
      </c>
      <c r="G16" s="341" t="s">
        <v>69</v>
      </c>
      <c r="H16" s="341" t="s">
        <v>525</v>
      </c>
      <c r="I16" s="341" t="s">
        <v>69</v>
      </c>
      <c r="J16" s="341" t="s">
        <v>69</v>
      </c>
      <c r="K16" s="341" t="s">
        <v>525</v>
      </c>
      <c r="L16" s="341" t="s">
        <v>69</v>
      </c>
      <c r="M16" s="341" t="s">
        <v>69</v>
      </c>
      <c r="N16" s="341" t="s">
        <v>525</v>
      </c>
      <c r="O16" s="341" t="s">
        <v>69</v>
      </c>
    </row>
    <row r="17" spans="1:17" ht="25.5" customHeight="1" thickBot="1">
      <c r="A17" s="264"/>
      <c r="B17" s="332" t="s">
        <v>283</v>
      </c>
      <c r="C17" s="168"/>
      <c r="D17" s="264" t="s">
        <v>45</v>
      </c>
      <c r="E17" s="168" t="s">
        <v>526</v>
      </c>
      <c r="F17" s="341" t="s">
        <v>93</v>
      </c>
      <c r="G17" s="341" t="s">
        <v>93</v>
      </c>
      <c r="H17" s="341" t="s">
        <v>93</v>
      </c>
      <c r="I17" s="341" t="s">
        <v>93</v>
      </c>
      <c r="J17" s="341" t="s">
        <v>93</v>
      </c>
      <c r="K17" s="341" t="s">
        <v>93</v>
      </c>
      <c r="L17" s="341" t="s">
        <v>93</v>
      </c>
      <c r="M17" s="341" t="s">
        <v>93</v>
      </c>
      <c r="N17" s="341" t="s">
        <v>93</v>
      </c>
      <c r="O17" s="341" t="s">
        <v>93</v>
      </c>
    </row>
    <row r="18" spans="1:17" ht="25.5" customHeight="1">
      <c r="A18" s="333"/>
      <c r="B18" s="201"/>
      <c r="C18" s="201"/>
      <c r="D18" s="201"/>
      <c r="E18" s="201"/>
      <c r="F18" s="342"/>
      <c r="G18" s="342"/>
      <c r="H18" s="342"/>
      <c r="I18" s="342"/>
      <c r="J18" s="342"/>
      <c r="K18" s="342"/>
      <c r="L18" s="342"/>
      <c r="M18" s="342"/>
      <c r="N18" s="342"/>
      <c r="O18" s="342"/>
    </row>
    <row r="19" spans="1:17" ht="25.5" customHeight="1">
      <c r="A19" s="336">
        <v>4</v>
      </c>
      <c r="B19" s="324" t="s">
        <v>529</v>
      </c>
      <c r="C19" s="324"/>
      <c r="D19" s="324"/>
      <c r="E19" s="324"/>
      <c r="F19" s="324"/>
      <c r="G19" s="324"/>
      <c r="H19" s="324"/>
      <c r="I19" s="324"/>
      <c r="J19" s="324"/>
      <c r="K19" s="324"/>
      <c r="L19" s="324"/>
      <c r="M19" s="324"/>
      <c r="N19" s="324"/>
      <c r="O19" s="324"/>
    </row>
    <row r="20" spans="1:17" ht="25.5" customHeight="1">
      <c r="A20" s="333"/>
      <c r="B20" s="201"/>
      <c r="C20" s="201"/>
      <c r="D20" s="201"/>
      <c r="E20" s="201"/>
      <c r="F20" s="342"/>
      <c r="G20" s="342"/>
      <c r="H20" s="342"/>
      <c r="I20" s="342"/>
      <c r="J20" s="342"/>
      <c r="K20" s="342"/>
      <c r="L20" s="342"/>
      <c r="M20" s="342"/>
      <c r="N20" s="342"/>
      <c r="O20" s="342"/>
    </row>
    <row r="21" spans="1:17" ht="25.5" customHeight="1">
      <c r="A21" s="336">
        <v>5</v>
      </c>
      <c r="B21" s="324" t="s">
        <v>530</v>
      </c>
      <c r="C21" s="324"/>
      <c r="D21" s="324"/>
      <c r="E21" s="324"/>
      <c r="F21" s="324"/>
      <c r="G21" s="324"/>
      <c r="H21" s="324"/>
      <c r="I21" s="324"/>
      <c r="J21" s="324"/>
      <c r="K21" s="324"/>
      <c r="L21" s="324"/>
      <c r="M21" s="324"/>
      <c r="N21" s="324"/>
      <c r="O21" s="324"/>
    </row>
    <row r="22" spans="1:17" ht="25.5" customHeight="1" thickBot="1">
      <c r="A22" s="265"/>
      <c r="B22" s="331" t="s">
        <v>296</v>
      </c>
      <c r="C22" s="260" t="s">
        <v>521</v>
      </c>
      <c r="D22" s="265" t="s">
        <v>44</v>
      </c>
      <c r="E22" s="260" t="s">
        <v>531</v>
      </c>
      <c r="F22" s="341" t="s">
        <v>69</v>
      </c>
      <c r="G22" s="341" t="s">
        <v>69</v>
      </c>
      <c r="H22" s="341" t="s">
        <v>69</v>
      </c>
      <c r="I22" s="341" t="s">
        <v>69</v>
      </c>
      <c r="J22" s="341" t="s">
        <v>69</v>
      </c>
      <c r="K22" s="341" t="s">
        <v>69</v>
      </c>
      <c r="L22" s="341" t="s">
        <v>69</v>
      </c>
      <c r="M22" s="341" t="s">
        <v>69</v>
      </c>
      <c r="N22" s="341" t="s">
        <v>69</v>
      </c>
      <c r="O22" s="341" t="s">
        <v>69</v>
      </c>
      <c r="P22" s="205"/>
      <c r="Q22" s="203"/>
    </row>
    <row r="23" spans="1:17" ht="31" customHeight="1" thickBot="1">
      <c r="A23" s="264"/>
      <c r="B23" s="332" t="s">
        <v>297</v>
      </c>
      <c r="C23" s="168"/>
      <c r="D23" s="264" t="s">
        <v>44</v>
      </c>
      <c r="E23" s="168" t="s">
        <v>532</v>
      </c>
      <c r="F23" s="341" t="s">
        <v>69</v>
      </c>
      <c r="G23" s="341" t="s">
        <v>69</v>
      </c>
      <c r="H23" s="341" t="s">
        <v>69</v>
      </c>
      <c r="I23" s="341" t="s">
        <v>69</v>
      </c>
      <c r="J23" s="341" t="s">
        <v>69</v>
      </c>
      <c r="K23" s="341" t="s">
        <v>69</v>
      </c>
      <c r="L23" s="341" t="s">
        <v>69</v>
      </c>
      <c r="M23" s="341" t="s">
        <v>69</v>
      </c>
      <c r="N23" s="341" t="s">
        <v>69</v>
      </c>
      <c r="O23" s="341" t="s">
        <v>69</v>
      </c>
    </row>
    <row r="24" spans="1:17" ht="25.5" customHeight="1" thickBot="1">
      <c r="A24" s="333"/>
      <c r="B24" s="201"/>
      <c r="C24" s="201"/>
      <c r="D24" s="201"/>
      <c r="F24" s="342"/>
      <c r="G24" s="342"/>
      <c r="H24" s="342"/>
      <c r="I24" s="342"/>
      <c r="J24" s="342"/>
      <c r="K24" s="342"/>
      <c r="L24" s="342"/>
      <c r="M24" s="342"/>
      <c r="N24" s="342"/>
      <c r="O24" s="342"/>
    </row>
    <row r="25" spans="1:17" ht="25.5" customHeight="1" thickBot="1">
      <c r="A25" s="264"/>
      <c r="B25" s="332" t="s">
        <v>299</v>
      </c>
      <c r="C25" s="168" t="s">
        <v>533</v>
      </c>
      <c r="D25" s="264" t="s">
        <v>44</v>
      </c>
      <c r="E25" s="168" t="s">
        <v>534</v>
      </c>
      <c r="F25" s="341" t="s">
        <v>69</v>
      </c>
      <c r="G25" s="341" t="s">
        <v>69</v>
      </c>
      <c r="H25" s="341" t="s">
        <v>69</v>
      </c>
      <c r="I25" s="341" t="s">
        <v>67</v>
      </c>
      <c r="J25" s="341" t="s">
        <v>69</v>
      </c>
      <c r="K25" s="341" t="s">
        <v>69</v>
      </c>
      <c r="L25" s="341" t="s">
        <v>69</v>
      </c>
      <c r="M25" s="341" t="s">
        <v>69</v>
      </c>
      <c r="N25" s="341" t="s">
        <v>69</v>
      </c>
      <c r="O25" s="341" t="s">
        <v>67</v>
      </c>
      <c r="P25" s="205"/>
    </row>
    <row r="26" spans="1:17" ht="25.5" customHeight="1" thickBot="1">
      <c r="A26" s="264"/>
      <c r="B26" s="332" t="s">
        <v>300</v>
      </c>
      <c r="C26" s="168"/>
      <c r="D26" s="264" t="s">
        <v>45</v>
      </c>
      <c r="E26" s="168" t="s">
        <v>535</v>
      </c>
      <c r="F26" s="341" t="s">
        <v>69</v>
      </c>
      <c r="G26" s="341" t="s">
        <v>69</v>
      </c>
      <c r="H26" s="341" t="s">
        <v>69</v>
      </c>
      <c r="I26" s="341" t="s">
        <v>67</v>
      </c>
      <c r="J26" s="341" t="s">
        <v>69</v>
      </c>
      <c r="K26" s="341" t="s">
        <v>69</v>
      </c>
      <c r="L26" s="341" t="s">
        <v>69</v>
      </c>
      <c r="M26" s="341" t="s">
        <v>69</v>
      </c>
      <c r="N26" s="341" t="s">
        <v>69</v>
      </c>
      <c r="O26" s="341" t="s">
        <v>67</v>
      </c>
    </row>
    <row r="27" spans="1:17" ht="25.5" customHeight="1" thickBot="1">
      <c r="A27" s="264"/>
      <c r="B27" s="332" t="s">
        <v>301</v>
      </c>
      <c r="C27" s="168"/>
      <c r="D27" s="264" t="s">
        <v>44</v>
      </c>
      <c r="E27" s="168" t="s">
        <v>536</v>
      </c>
      <c r="F27" s="341" t="s">
        <v>69</v>
      </c>
      <c r="G27" s="341" t="s">
        <v>69</v>
      </c>
      <c r="H27" s="341" t="s">
        <v>69</v>
      </c>
      <c r="I27" s="341" t="s">
        <v>69</v>
      </c>
      <c r="J27" s="341" t="s">
        <v>69</v>
      </c>
      <c r="K27" s="341" t="s">
        <v>69</v>
      </c>
      <c r="L27" s="341" t="s">
        <v>69</v>
      </c>
      <c r="M27" s="341" t="s">
        <v>69</v>
      </c>
      <c r="N27" s="341" t="s">
        <v>69</v>
      </c>
      <c r="O27" s="341" t="s">
        <v>69</v>
      </c>
    </row>
    <row r="28" spans="1:17" ht="25.5" customHeight="1" thickBot="1">
      <c r="A28" s="264"/>
      <c r="B28" s="332" t="s">
        <v>302</v>
      </c>
      <c r="C28" s="168"/>
      <c r="D28" s="264" t="s">
        <v>44</v>
      </c>
      <c r="E28" s="168" t="s">
        <v>537</v>
      </c>
      <c r="F28" s="341" t="s">
        <v>69</v>
      </c>
      <c r="G28" s="341" t="s">
        <v>69</v>
      </c>
      <c r="H28" s="341" t="s">
        <v>69</v>
      </c>
      <c r="I28" s="341" t="s">
        <v>67</v>
      </c>
      <c r="J28" s="341" t="s">
        <v>69</v>
      </c>
      <c r="K28" s="341" t="s">
        <v>69</v>
      </c>
      <c r="L28" s="341" t="s">
        <v>69</v>
      </c>
      <c r="M28" s="341" t="s">
        <v>69</v>
      </c>
      <c r="N28" s="341" t="s">
        <v>69</v>
      </c>
      <c r="O28" s="341" t="s">
        <v>67</v>
      </c>
    </row>
    <row r="29" spans="1:17" ht="34" customHeight="1" thickBot="1">
      <c r="A29" s="264"/>
      <c r="B29" s="332" t="s">
        <v>303</v>
      </c>
      <c r="C29" s="168"/>
      <c r="D29" s="264" t="s">
        <v>425</v>
      </c>
      <c r="E29" s="168" t="s">
        <v>538</v>
      </c>
      <c r="F29" s="341" t="s">
        <v>525</v>
      </c>
      <c r="G29" s="341" t="s">
        <v>525</v>
      </c>
      <c r="H29" s="341" t="s">
        <v>525</v>
      </c>
      <c r="I29" s="341" t="s">
        <v>525</v>
      </c>
      <c r="J29" s="341" t="s">
        <v>69</v>
      </c>
      <c r="K29" s="341" t="s">
        <v>69</v>
      </c>
      <c r="L29" s="341" t="s">
        <v>69</v>
      </c>
      <c r="M29" s="341" t="s">
        <v>525</v>
      </c>
      <c r="N29" s="341" t="s">
        <v>525</v>
      </c>
      <c r="O29" s="341" t="s">
        <v>525</v>
      </c>
    </row>
    <row r="30" spans="1:17" ht="25.5" customHeight="1" thickBot="1">
      <c r="A30" s="264"/>
      <c r="B30" s="332" t="s">
        <v>305</v>
      </c>
      <c r="C30" s="168"/>
      <c r="D30" s="264" t="s">
        <v>44</v>
      </c>
      <c r="E30" s="168" t="s">
        <v>539</v>
      </c>
      <c r="F30" s="341" t="s">
        <v>69</v>
      </c>
      <c r="G30" s="341" t="s">
        <v>69</v>
      </c>
      <c r="H30" s="341" t="s">
        <v>69</v>
      </c>
      <c r="I30" s="341" t="s">
        <v>69</v>
      </c>
      <c r="J30" s="341" t="s">
        <v>69</v>
      </c>
      <c r="K30" s="341" t="s">
        <v>69</v>
      </c>
      <c r="L30" s="341" t="s">
        <v>69</v>
      </c>
      <c r="M30" s="341" t="s">
        <v>69</v>
      </c>
      <c r="N30" s="341" t="s">
        <v>69</v>
      </c>
      <c r="O30" s="341" t="s">
        <v>67</v>
      </c>
    </row>
    <row r="31" spans="1:17" ht="25.5" customHeight="1" thickBot="1">
      <c r="A31" s="264"/>
      <c r="B31" s="332" t="s">
        <v>306</v>
      </c>
      <c r="C31" s="168"/>
      <c r="D31" s="264" t="s">
        <v>44</v>
      </c>
      <c r="E31" s="168" t="s">
        <v>540</v>
      </c>
      <c r="F31" s="341" t="s">
        <v>69</v>
      </c>
      <c r="G31" s="341" t="s">
        <v>69</v>
      </c>
      <c r="H31" s="341" t="s">
        <v>69</v>
      </c>
      <c r="I31" s="341" t="s">
        <v>69</v>
      </c>
      <c r="J31" s="341" t="s">
        <v>69</v>
      </c>
      <c r="K31" s="341" t="s">
        <v>67</v>
      </c>
      <c r="L31" s="341" t="s">
        <v>69</v>
      </c>
      <c r="M31" s="341" t="s">
        <v>69</v>
      </c>
      <c r="N31" s="341" t="s">
        <v>69</v>
      </c>
      <c r="O31" s="341" t="s">
        <v>69</v>
      </c>
    </row>
    <row r="32" spans="1:17" ht="25.5" customHeight="1" thickBot="1">
      <c r="A32" s="264"/>
      <c r="B32" s="332" t="s">
        <v>307</v>
      </c>
      <c r="C32" s="168"/>
      <c r="D32" s="264" t="s">
        <v>44</v>
      </c>
      <c r="E32" s="168" t="s">
        <v>541</v>
      </c>
      <c r="F32" s="341" t="s">
        <v>67</v>
      </c>
      <c r="G32" s="341" t="s">
        <v>69</v>
      </c>
      <c r="H32" s="341" t="s">
        <v>69</v>
      </c>
      <c r="I32" s="341" t="s">
        <v>67</v>
      </c>
      <c r="J32" s="341" t="s">
        <v>69</v>
      </c>
      <c r="K32" s="341" t="s">
        <v>69</v>
      </c>
      <c r="L32" s="341" t="s">
        <v>67</v>
      </c>
      <c r="M32" s="341" t="s">
        <v>69</v>
      </c>
      <c r="N32" s="341" t="s">
        <v>69</v>
      </c>
      <c r="O32" s="341" t="s">
        <v>67</v>
      </c>
    </row>
    <row r="33" spans="1:15" ht="29.5" customHeight="1" thickBot="1">
      <c r="A33" s="264"/>
      <c r="B33" s="332" t="s">
        <v>308</v>
      </c>
      <c r="C33" s="168"/>
      <c r="D33" s="264" t="s">
        <v>44</v>
      </c>
      <c r="E33" s="168" t="s">
        <v>542</v>
      </c>
      <c r="F33" s="341" t="s">
        <v>525</v>
      </c>
      <c r="G33" s="341" t="s">
        <v>525</v>
      </c>
      <c r="H33" s="341" t="s">
        <v>525</v>
      </c>
      <c r="I33" s="341" t="s">
        <v>525</v>
      </c>
      <c r="J33" s="341" t="s">
        <v>69</v>
      </c>
      <c r="K33" s="341" t="s">
        <v>69</v>
      </c>
      <c r="L33" s="341" t="s">
        <v>67</v>
      </c>
      <c r="M33" s="341" t="s">
        <v>525</v>
      </c>
      <c r="N33" s="341" t="s">
        <v>525</v>
      </c>
      <c r="O33" s="341" t="s">
        <v>525</v>
      </c>
    </row>
    <row r="34" spans="1:15" ht="25.5" customHeight="1" thickBot="1">
      <c r="A34" s="264"/>
      <c r="B34" s="332" t="s">
        <v>310</v>
      </c>
      <c r="C34" s="168"/>
      <c r="D34" s="264" t="s">
        <v>44</v>
      </c>
      <c r="E34" s="168" t="s">
        <v>543</v>
      </c>
      <c r="F34" s="341" t="s">
        <v>69</v>
      </c>
      <c r="G34" s="341" t="s">
        <v>69</v>
      </c>
      <c r="H34" s="341" t="s">
        <v>69</v>
      </c>
      <c r="I34" s="341" t="s">
        <v>69</v>
      </c>
      <c r="J34" s="341" t="s">
        <v>69</v>
      </c>
      <c r="K34" s="341" t="s">
        <v>69</v>
      </c>
      <c r="L34" s="341" t="s">
        <v>69</v>
      </c>
      <c r="M34" s="341" t="s">
        <v>67</v>
      </c>
      <c r="N34" s="341" t="s">
        <v>69</v>
      </c>
      <c r="O34" s="341" t="s">
        <v>67</v>
      </c>
    </row>
    <row r="35" spans="1:15" ht="25.5" customHeight="1" thickBot="1">
      <c r="A35" s="264"/>
      <c r="B35" s="332" t="s">
        <v>311</v>
      </c>
      <c r="C35" s="168"/>
      <c r="D35" s="264" t="s">
        <v>44</v>
      </c>
      <c r="E35" s="168" t="s">
        <v>544</v>
      </c>
      <c r="F35" s="341" t="s">
        <v>525</v>
      </c>
      <c r="G35" s="341" t="s">
        <v>69</v>
      </c>
      <c r="H35" s="341" t="s">
        <v>69</v>
      </c>
      <c r="I35" s="341" t="s">
        <v>69</v>
      </c>
      <c r="J35" s="341" t="s">
        <v>69</v>
      </c>
      <c r="K35" s="341" t="s">
        <v>69</v>
      </c>
      <c r="L35" s="341" t="s">
        <v>69</v>
      </c>
      <c r="M35" s="341" t="s">
        <v>69</v>
      </c>
      <c r="N35" s="341" t="s">
        <v>69</v>
      </c>
      <c r="O35" s="341" t="s">
        <v>69</v>
      </c>
    </row>
    <row r="36" spans="1:15" ht="30" customHeight="1" thickBot="1">
      <c r="A36" s="264"/>
      <c r="B36" s="332" t="s">
        <v>312</v>
      </c>
      <c r="C36" s="168"/>
      <c r="D36" s="264" t="s">
        <v>44</v>
      </c>
      <c r="E36" s="168" t="s">
        <v>545</v>
      </c>
      <c r="F36" s="341" t="s">
        <v>69</v>
      </c>
      <c r="G36" s="341" t="s">
        <v>69</v>
      </c>
      <c r="H36" s="341" t="s">
        <v>69</v>
      </c>
      <c r="I36" s="341" t="s">
        <v>69</v>
      </c>
      <c r="J36" s="341" t="s">
        <v>69</v>
      </c>
      <c r="K36" s="341" t="s">
        <v>69</v>
      </c>
      <c r="L36" s="341" t="s">
        <v>69</v>
      </c>
      <c r="M36" s="341" t="s">
        <v>69</v>
      </c>
      <c r="N36" s="341" t="s">
        <v>69</v>
      </c>
      <c r="O36" s="341" t="s">
        <v>69</v>
      </c>
    </row>
    <row r="37" spans="1:15" ht="25.5" customHeight="1" thickBot="1">
      <c r="A37" s="264"/>
      <c r="B37" s="332" t="s">
        <v>313</v>
      </c>
      <c r="C37" s="168"/>
      <c r="D37" s="264" t="s">
        <v>44</v>
      </c>
      <c r="E37" s="168" t="s">
        <v>546</v>
      </c>
      <c r="F37" s="341" t="s">
        <v>69</v>
      </c>
      <c r="G37" s="341" t="s">
        <v>69</v>
      </c>
      <c r="H37" s="341" t="s">
        <v>69</v>
      </c>
      <c r="I37" s="341" t="s">
        <v>69</v>
      </c>
      <c r="J37" s="341" t="s">
        <v>69</v>
      </c>
      <c r="K37" s="341" t="s">
        <v>69</v>
      </c>
      <c r="L37" s="341" t="s">
        <v>69</v>
      </c>
      <c r="M37" s="341" t="s">
        <v>69</v>
      </c>
      <c r="N37" s="341" t="s">
        <v>69</v>
      </c>
      <c r="O37" s="341" t="s">
        <v>69</v>
      </c>
    </row>
    <row r="38" spans="1:15" ht="25.5" customHeight="1" thickBot="1">
      <c r="A38" s="267"/>
      <c r="B38" s="267"/>
      <c r="C38" s="267"/>
      <c r="D38" s="267"/>
      <c r="E38" s="267"/>
      <c r="F38" s="267"/>
      <c r="G38" s="342"/>
      <c r="H38" s="342"/>
      <c r="I38" s="342"/>
      <c r="J38" s="342"/>
      <c r="K38" s="342"/>
      <c r="L38" s="342"/>
      <c r="M38" s="342"/>
      <c r="N38" s="342"/>
      <c r="O38" s="342"/>
    </row>
    <row r="39" spans="1:15" ht="32.5" customHeight="1" thickBot="1">
      <c r="A39" s="264"/>
      <c r="B39" s="332" t="s">
        <v>317</v>
      </c>
      <c r="C39" s="168" t="s">
        <v>547</v>
      </c>
      <c r="D39" s="264" t="s">
        <v>46</v>
      </c>
      <c r="E39" s="168" t="s">
        <v>548</v>
      </c>
      <c r="F39" s="341" t="s">
        <v>69</v>
      </c>
      <c r="G39" s="341" t="s">
        <v>69</v>
      </c>
      <c r="H39" s="341" t="s">
        <v>69</v>
      </c>
      <c r="I39" s="341" t="s">
        <v>67</v>
      </c>
      <c r="J39" s="341" t="s">
        <v>69</v>
      </c>
      <c r="K39" s="341" t="s">
        <v>69</v>
      </c>
      <c r="L39" s="341" t="s">
        <v>67</v>
      </c>
      <c r="M39" s="341" t="s">
        <v>67</v>
      </c>
      <c r="N39" s="341" t="s">
        <v>69</v>
      </c>
      <c r="O39" s="341" t="s">
        <v>67</v>
      </c>
    </row>
    <row r="40" spans="1:15" ht="32.5" customHeight="1" thickBot="1">
      <c r="A40" s="264"/>
      <c r="B40" s="332" t="s">
        <v>318</v>
      </c>
      <c r="C40" s="168"/>
      <c r="D40" s="264" t="s">
        <v>46</v>
      </c>
      <c r="E40" s="168" t="s">
        <v>549</v>
      </c>
      <c r="F40" s="341" t="s">
        <v>69</v>
      </c>
      <c r="G40" s="341" t="s">
        <v>69</v>
      </c>
      <c r="H40" s="341" t="s">
        <v>69</v>
      </c>
      <c r="I40" s="341" t="s">
        <v>67</v>
      </c>
      <c r="J40" s="341" t="s">
        <v>69</v>
      </c>
      <c r="K40" s="341" t="s">
        <v>69</v>
      </c>
      <c r="L40" s="341" t="s">
        <v>67</v>
      </c>
      <c r="M40" s="341" t="s">
        <v>67</v>
      </c>
      <c r="N40" s="341" t="s">
        <v>69</v>
      </c>
      <c r="O40" s="341" t="s">
        <v>67</v>
      </c>
    </row>
    <row r="41" spans="1:15" ht="29.5" customHeight="1" thickBot="1">
      <c r="A41" s="264"/>
      <c r="B41" s="332" t="s">
        <v>319</v>
      </c>
      <c r="C41" s="168"/>
      <c r="D41" s="264" t="s">
        <v>46</v>
      </c>
      <c r="E41" s="168" t="s">
        <v>550</v>
      </c>
      <c r="F41" s="341" t="s">
        <v>69</v>
      </c>
      <c r="G41" s="341" t="s">
        <v>69</v>
      </c>
      <c r="H41" s="341" t="s">
        <v>69</v>
      </c>
      <c r="I41" s="341" t="s">
        <v>69</v>
      </c>
      <c r="J41" s="341" t="s">
        <v>69</v>
      </c>
      <c r="K41" s="341" t="s">
        <v>69</v>
      </c>
      <c r="L41" s="341" t="s">
        <v>67</v>
      </c>
      <c r="M41" s="341" t="s">
        <v>69</v>
      </c>
      <c r="N41" s="341" t="s">
        <v>69</v>
      </c>
      <c r="O41" s="341" t="s">
        <v>67</v>
      </c>
    </row>
    <row r="42" spans="1:15" ht="25.5" customHeight="1" thickBot="1">
      <c r="A42" s="264"/>
      <c r="B42" s="332" t="s">
        <v>320</v>
      </c>
      <c r="C42" s="168"/>
      <c r="D42" s="264" t="s">
        <v>46</v>
      </c>
      <c r="E42" s="168" t="s">
        <v>551</v>
      </c>
      <c r="F42" s="341" t="s">
        <v>69</v>
      </c>
      <c r="G42" s="341" t="s">
        <v>69</v>
      </c>
      <c r="H42" s="341" t="s">
        <v>69</v>
      </c>
      <c r="I42" s="341" t="s">
        <v>69</v>
      </c>
      <c r="J42" s="341" t="s">
        <v>69</v>
      </c>
      <c r="K42" s="341" t="s">
        <v>69</v>
      </c>
      <c r="L42" s="341" t="s">
        <v>69</v>
      </c>
      <c r="M42" s="341" t="s">
        <v>69</v>
      </c>
      <c r="N42" s="341" t="s">
        <v>69</v>
      </c>
      <c r="O42" s="341" t="s">
        <v>67</v>
      </c>
    </row>
    <row r="43" spans="1:15" ht="25.5" customHeight="1" thickBot="1">
      <c r="A43" s="264"/>
      <c r="B43" s="332" t="s">
        <v>321</v>
      </c>
      <c r="C43" s="168"/>
      <c r="D43" s="264" t="s">
        <v>46</v>
      </c>
      <c r="E43" s="168" t="s">
        <v>552</v>
      </c>
      <c r="F43" s="341" t="s">
        <v>69</v>
      </c>
      <c r="G43" s="341" t="s">
        <v>69</v>
      </c>
      <c r="H43" s="341" t="s">
        <v>69</v>
      </c>
      <c r="I43" s="341" t="s">
        <v>69</v>
      </c>
      <c r="J43" s="341" t="s">
        <v>69</v>
      </c>
      <c r="K43" s="341" t="s">
        <v>69</v>
      </c>
      <c r="L43" s="341" t="s">
        <v>69</v>
      </c>
      <c r="M43" s="341" t="s">
        <v>69</v>
      </c>
      <c r="N43" s="341" t="s">
        <v>69</v>
      </c>
      <c r="O43" s="341" t="s">
        <v>67</v>
      </c>
    </row>
    <row r="44" spans="1:15" ht="25.5" customHeight="1" thickBot="1">
      <c r="A44" s="264"/>
      <c r="B44" s="332" t="s">
        <v>322</v>
      </c>
      <c r="C44" s="168"/>
      <c r="D44" s="264" t="s">
        <v>46</v>
      </c>
      <c r="E44" s="168" t="s">
        <v>553</v>
      </c>
      <c r="F44" s="341" t="s">
        <v>69</v>
      </c>
      <c r="G44" s="341" t="s">
        <v>69</v>
      </c>
      <c r="H44" s="341" t="s">
        <v>69</v>
      </c>
      <c r="I44" s="341" t="s">
        <v>69</v>
      </c>
      <c r="J44" s="341" t="s">
        <v>69</v>
      </c>
      <c r="K44" s="341" t="s">
        <v>69</v>
      </c>
      <c r="L44" s="341" t="s">
        <v>69</v>
      </c>
      <c r="M44" s="341" t="s">
        <v>69</v>
      </c>
      <c r="N44" s="341" t="s">
        <v>69</v>
      </c>
      <c r="O44" s="341" t="s">
        <v>67</v>
      </c>
    </row>
    <row r="45" spans="1:15" ht="31" customHeight="1" thickBot="1">
      <c r="A45" s="264"/>
      <c r="B45" s="332" t="s">
        <v>323</v>
      </c>
      <c r="C45" s="168"/>
      <c r="D45" s="264" t="s">
        <v>46</v>
      </c>
      <c r="E45" s="168" t="s">
        <v>554</v>
      </c>
      <c r="F45" s="341" t="s">
        <v>69</v>
      </c>
      <c r="G45" s="341" t="s">
        <v>69</v>
      </c>
      <c r="H45" s="341" t="s">
        <v>69</v>
      </c>
      <c r="I45" s="341" t="s">
        <v>69</v>
      </c>
      <c r="J45" s="341" t="s">
        <v>69</v>
      </c>
      <c r="K45" s="341" t="s">
        <v>69</v>
      </c>
      <c r="L45" s="341" t="s">
        <v>69</v>
      </c>
      <c r="M45" s="341" t="s">
        <v>69</v>
      </c>
      <c r="N45" s="341" t="s">
        <v>69</v>
      </c>
      <c r="O45" s="341" t="s">
        <v>67</v>
      </c>
    </row>
    <row r="46" spans="1:15" ht="30" customHeight="1" thickBot="1">
      <c r="A46" s="264"/>
      <c r="B46" s="332" t="s">
        <v>555</v>
      </c>
      <c r="C46" s="168"/>
      <c r="D46" s="264" t="s">
        <v>46</v>
      </c>
      <c r="E46" s="168" t="s">
        <v>556</v>
      </c>
      <c r="F46" s="341" t="s">
        <v>69</v>
      </c>
      <c r="G46" s="341" t="s">
        <v>69</v>
      </c>
      <c r="H46" s="341" t="s">
        <v>69</v>
      </c>
      <c r="I46" s="341" t="s">
        <v>69</v>
      </c>
      <c r="J46" s="341" t="s">
        <v>69</v>
      </c>
      <c r="K46" s="341" t="s">
        <v>69</v>
      </c>
      <c r="L46" s="341" t="s">
        <v>69</v>
      </c>
      <c r="M46" s="341" t="s">
        <v>69</v>
      </c>
      <c r="N46" s="341" t="s">
        <v>69</v>
      </c>
      <c r="O46" s="341" t="s">
        <v>67</v>
      </c>
    </row>
    <row r="47" spans="1:15" s="201" customFormat="1" ht="25.5" customHeight="1" thickBot="1">
      <c r="A47" s="334"/>
      <c r="B47" s="204"/>
      <c r="C47" s="204"/>
      <c r="D47" s="204"/>
      <c r="E47" s="204"/>
      <c r="F47" s="342"/>
      <c r="G47" s="342"/>
      <c r="H47" s="342"/>
      <c r="I47" s="342"/>
      <c r="J47" s="342"/>
      <c r="K47" s="342"/>
      <c r="L47" s="342"/>
      <c r="M47" s="342"/>
      <c r="N47" s="342"/>
      <c r="O47" s="342"/>
    </row>
    <row r="48" spans="1:15" ht="25.5" customHeight="1" thickBot="1">
      <c r="A48" s="264"/>
      <c r="B48" s="332" t="s">
        <v>324</v>
      </c>
      <c r="C48" s="168" t="s">
        <v>557</v>
      </c>
      <c r="D48" s="264" t="s">
        <v>44</v>
      </c>
      <c r="E48" s="168" t="s">
        <v>558</v>
      </c>
      <c r="F48" s="341" t="s">
        <v>67</v>
      </c>
      <c r="G48" s="341" t="s">
        <v>69</v>
      </c>
      <c r="H48" s="341" t="s">
        <v>67</v>
      </c>
      <c r="I48" s="341" t="s">
        <v>67</v>
      </c>
      <c r="J48" s="341" t="s">
        <v>69</v>
      </c>
      <c r="K48" s="341" t="s">
        <v>67</v>
      </c>
      <c r="L48" s="341" t="s">
        <v>67</v>
      </c>
      <c r="M48" s="341" t="s">
        <v>67</v>
      </c>
      <c r="N48" s="341" t="s">
        <v>69</v>
      </c>
      <c r="O48" s="341" t="s">
        <v>67</v>
      </c>
    </row>
    <row r="49" spans="1:15" ht="32.5" customHeight="1" thickBot="1">
      <c r="A49" s="264"/>
      <c r="B49" s="332" t="s">
        <v>325</v>
      </c>
      <c r="C49" s="168"/>
      <c r="D49" s="264" t="s">
        <v>44</v>
      </c>
      <c r="E49" s="168" t="s">
        <v>559</v>
      </c>
      <c r="F49" s="341" t="s">
        <v>69</v>
      </c>
      <c r="G49" s="341" t="s">
        <v>69</v>
      </c>
      <c r="H49" s="341" t="s">
        <v>69</v>
      </c>
      <c r="I49" s="341" t="s">
        <v>69</v>
      </c>
      <c r="J49" s="341" t="s">
        <v>69</v>
      </c>
      <c r="K49" s="341" t="s">
        <v>69</v>
      </c>
      <c r="L49" s="341" t="s">
        <v>69</v>
      </c>
      <c r="M49" s="341" t="s">
        <v>69</v>
      </c>
      <c r="N49" s="341" t="s">
        <v>69</v>
      </c>
      <c r="O49" s="341" t="s">
        <v>69</v>
      </c>
    </row>
    <row r="50" spans="1:15" ht="36.65" customHeight="1" thickBot="1">
      <c r="A50" s="264"/>
      <c r="B50" s="332" t="s">
        <v>326</v>
      </c>
      <c r="C50" s="168"/>
      <c r="D50" s="264" t="s">
        <v>44</v>
      </c>
      <c r="E50" s="168" t="s">
        <v>560</v>
      </c>
      <c r="F50" s="341" t="s">
        <v>69</v>
      </c>
      <c r="G50" s="341" t="s">
        <v>69</v>
      </c>
      <c r="H50" s="341" t="s">
        <v>69</v>
      </c>
      <c r="I50" s="341" t="s">
        <v>69</v>
      </c>
      <c r="J50" s="341" t="s">
        <v>69</v>
      </c>
      <c r="K50" s="341" t="s">
        <v>69</v>
      </c>
      <c r="L50" s="341" t="s">
        <v>69</v>
      </c>
      <c r="M50" s="341" t="s">
        <v>69</v>
      </c>
      <c r="N50" s="341" t="s">
        <v>69</v>
      </c>
      <c r="O50" s="341" t="s">
        <v>69</v>
      </c>
    </row>
    <row r="51" spans="1:15" ht="32.5" customHeight="1" thickBot="1">
      <c r="A51" s="264"/>
      <c r="B51" s="332" t="s">
        <v>327</v>
      </c>
      <c r="C51" s="168"/>
      <c r="D51" s="264" t="s">
        <v>44</v>
      </c>
      <c r="E51" s="168" t="s">
        <v>561</v>
      </c>
      <c r="F51" s="341" t="s">
        <v>67</v>
      </c>
      <c r="G51" s="341" t="s">
        <v>69</v>
      </c>
      <c r="H51" s="341" t="s">
        <v>69</v>
      </c>
      <c r="I51" s="341" t="s">
        <v>69</v>
      </c>
      <c r="J51" s="341" t="s">
        <v>69</v>
      </c>
      <c r="K51" s="341" t="s">
        <v>69</v>
      </c>
      <c r="L51" s="341" t="s">
        <v>69</v>
      </c>
      <c r="M51" s="341" t="s">
        <v>69</v>
      </c>
      <c r="N51" s="341" t="s">
        <v>69</v>
      </c>
      <c r="O51" s="341" t="s">
        <v>67</v>
      </c>
    </row>
    <row r="52" spans="1:15" ht="25.5" customHeight="1" thickBot="1">
      <c r="A52" s="264"/>
      <c r="B52" s="332" t="s">
        <v>328</v>
      </c>
      <c r="C52" s="168"/>
      <c r="D52" s="264" t="s">
        <v>44</v>
      </c>
      <c r="E52" s="168" t="s">
        <v>562</v>
      </c>
      <c r="F52" s="341" t="s">
        <v>67</v>
      </c>
      <c r="G52" s="341" t="s">
        <v>67</v>
      </c>
      <c r="H52" s="341" t="s">
        <v>67</v>
      </c>
      <c r="I52" s="341" t="s">
        <v>67</v>
      </c>
      <c r="J52" s="341" t="s">
        <v>67</v>
      </c>
      <c r="K52" s="341" t="s">
        <v>67</v>
      </c>
      <c r="L52" s="341" t="s">
        <v>67</v>
      </c>
      <c r="M52" s="341" t="s">
        <v>67</v>
      </c>
      <c r="N52" s="341" t="s">
        <v>69</v>
      </c>
      <c r="O52" s="341" t="s">
        <v>67</v>
      </c>
    </row>
    <row r="53" spans="1:15" ht="25.5" customHeight="1" thickBot="1">
      <c r="A53" s="264"/>
      <c r="B53" s="332" t="s">
        <v>329</v>
      </c>
      <c r="C53" s="168"/>
      <c r="D53" s="264" t="s">
        <v>44</v>
      </c>
      <c r="E53" s="168" t="s">
        <v>563</v>
      </c>
      <c r="F53" s="341" t="s">
        <v>69</v>
      </c>
      <c r="G53" s="341" t="s">
        <v>69</v>
      </c>
      <c r="H53" s="341" t="s">
        <v>67</v>
      </c>
      <c r="I53" s="341" t="s">
        <v>69</v>
      </c>
      <c r="J53" s="341" t="s">
        <v>69</v>
      </c>
      <c r="K53" s="341" t="s">
        <v>69</v>
      </c>
      <c r="L53" s="341" t="s">
        <v>69</v>
      </c>
      <c r="M53" s="341" t="s">
        <v>69</v>
      </c>
      <c r="N53" s="341" t="s">
        <v>69</v>
      </c>
      <c r="O53" s="341" t="s">
        <v>67</v>
      </c>
    </row>
    <row r="54" spans="1:15" ht="25.5" customHeight="1" thickBot="1">
      <c r="A54" s="264"/>
      <c r="B54" s="332" t="s">
        <v>330</v>
      </c>
      <c r="C54" s="168"/>
      <c r="D54" s="264" t="s">
        <v>45</v>
      </c>
      <c r="E54" s="168" t="s">
        <v>564</v>
      </c>
      <c r="F54" s="341" t="s">
        <v>93</v>
      </c>
      <c r="G54" s="341" t="s">
        <v>93</v>
      </c>
      <c r="H54" s="341" t="s">
        <v>93</v>
      </c>
      <c r="I54" s="341" t="s">
        <v>93</v>
      </c>
      <c r="J54" s="341" t="s">
        <v>93</v>
      </c>
      <c r="K54" s="341" t="s">
        <v>93</v>
      </c>
      <c r="L54" s="341" t="s">
        <v>93</v>
      </c>
      <c r="M54" s="341" t="s">
        <v>93</v>
      </c>
      <c r="N54" s="341" t="s">
        <v>93</v>
      </c>
      <c r="O54" s="341" t="s">
        <v>93</v>
      </c>
    </row>
    <row r="55" spans="1:15" s="201" customFormat="1" ht="25.5" customHeight="1" thickBot="1">
      <c r="A55" s="334"/>
      <c r="B55" s="204"/>
      <c r="C55" s="204"/>
      <c r="D55" s="204"/>
      <c r="E55" s="204"/>
      <c r="F55" s="342"/>
      <c r="G55" s="342"/>
      <c r="H55" s="342"/>
      <c r="I55" s="342"/>
      <c r="J55" s="342"/>
      <c r="K55" s="342"/>
      <c r="L55" s="342"/>
      <c r="M55" s="342"/>
      <c r="N55" s="342"/>
      <c r="O55" s="342"/>
    </row>
    <row r="56" spans="1:15" ht="25.5" customHeight="1" thickBot="1">
      <c r="A56" s="264"/>
      <c r="B56" s="332" t="s">
        <v>331</v>
      </c>
      <c r="C56" s="168" t="s">
        <v>565</v>
      </c>
      <c r="D56" s="264" t="s">
        <v>44</v>
      </c>
      <c r="E56" s="168" t="s">
        <v>566</v>
      </c>
      <c r="F56" s="341" t="s">
        <v>69</v>
      </c>
      <c r="G56" s="341" t="s">
        <v>69</v>
      </c>
      <c r="H56" s="341" t="s">
        <v>69</v>
      </c>
      <c r="I56" s="341" t="s">
        <v>69</v>
      </c>
      <c r="J56" s="341" t="s">
        <v>69</v>
      </c>
      <c r="K56" s="341" t="s">
        <v>69</v>
      </c>
      <c r="L56" s="341" t="s">
        <v>69</v>
      </c>
      <c r="M56" s="341" t="s">
        <v>69</v>
      </c>
      <c r="N56" s="341" t="s">
        <v>69</v>
      </c>
      <c r="O56" s="341" t="s">
        <v>69</v>
      </c>
    </row>
    <row r="57" spans="1:15" ht="28" customHeight="1" thickBot="1">
      <c r="A57" s="264"/>
      <c r="B57" s="332" t="s">
        <v>332</v>
      </c>
      <c r="C57" s="168"/>
      <c r="D57" s="264" t="s">
        <v>44</v>
      </c>
      <c r="E57" s="168" t="s">
        <v>567</v>
      </c>
      <c r="F57" s="341" t="s">
        <v>69</v>
      </c>
      <c r="G57" s="341" t="s">
        <v>69</v>
      </c>
      <c r="H57" s="341" t="s">
        <v>69</v>
      </c>
      <c r="I57" s="341" t="s">
        <v>69</v>
      </c>
      <c r="J57" s="341" t="s">
        <v>69</v>
      </c>
      <c r="K57" s="341" t="s">
        <v>69</v>
      </c>
      <c r="L57" s="341" t="s">
        <v>69</v>
      </c>
      <c r="M57" s="341" t="s">
        <v>69</v>
      </c>
      <c r="N57" s="341" t="s">
        <v>69</v>
      </c>
      <c r="O57" s="341" t="s">
        <v>67</v>
      </c>
    </row>
    <row r="58" spans="1:15" ht="28" customHeight="1" thickBot="1">
      <c r="A58" s="264"/>
      <c r="B58" s="332" t="s">
        <v>333</v>
      </c>
      <c r="C58" s="168"/>
      <c r="D58" s="264" t="s">
        <v>44</v>
      </c>
      <c r="E58" s="168" t="s">
        <v>568</v>
      </c>
      <c r="F58" s="341" t="s">
        <v>69</v>
      </c>
      <c r="G58" s="341" t="s">
        <v>69</v>
      </c>
      <c r="H58" s="341" t="s">
        <v>69</v>
      </c>
      <c r="I58" s="341" t="s">
        <v>69</v>
      </c>
      <c r="J58" s="341" t="s">
        <v>69</v>
      </c>
      <c r="K58" s="341" t="s">
        <v>69</v>
      </c>
      <c r="L58" s="341" t="s">
        <v>69</v>
      </c>
      <c r="M58" s="341" t="s">
        <v>69</v>
      </c>
      <c r="N58" s="341" t="s">
        <v>69</v>
      </c>
      <c r="O58" s="341" t="s">
        <v>67</v>
      </c>
    </row>
    <row r="59" spans="1:15" ht="28" customHeight="1" thickBot="1">
      <c r="A59" s="264"/>
      <c r="B59" s="332" t="s">
        <v>334</v>
      </c>
      <c r="C59" s="168"/>
      <c r="D59" s="264" t="s">
        <v>44</v>
      </c>
      <c r="E59" s="168" t="s">
        <v>569</v>
      </c>
      <c r="F59" s="341" t="s">
        <v>69</v>
      </c>
      <c r="G59" s="341" t="s">
        <v>69</v>
      </c>
      <c r="H59" s="341" t="s">
        <v>69</v>
      </c>
      <c r="I59" s="341" t="s">
        <v>69</v>
      </c>
      <c r="J59" s="341" t="s">
        <v>69</v>
      </c>
      <c r="K59" s="341" t="s">
        <v>69</v>
      </c>
      <c r="L59" s="341" t="s">
        <v>67</v>
      </c>
      <c r="M59" s="341" t="s">
        <v>69</v>
      </c>
      <c r="N59" s="341" t="s">
        <v>69</v>
      </c>
      <c r="O59" s="341" t="s">
        <v>525</v>
      </c>
    </row>
    <row r="60" spans="1:15" ht="28" customHeight="1" thickBot="1">
      <c r="A60" s="264"/>
      <c r="B60" s="332" t="s">
        <v>335</v>
      </c>
      <c r="C60" s="168"/>
      <c r="D60" s="264" t="s">
        <v>44</v>
      </c>
      <c r="E60" s="168" t="s">
        <v>570</v>
      </c>
      <c r="F60" s="341" t="s">
        <v>67</v>
      </c>
      <c r="G60" s="341" t="s">
        <v>69</v>
      </c>
      <c r="H60" s="341" t="s">
        <v>67</v>
      </c>
      <c r="I60" s="341" t="s">
        <v>69</v>
      </c>
      <c r="J60" s="341" t="s">
        <v>69</v>
      </c>
      <c r="K60" s="341" t="s">
        <v>69</v>
      </c>
      <c r="L60" s="341" t="s">
        <v>69</v>
      </c>
      <c r="M60" s="341" t="s">
        <v>67</v>
      </c>
      <c r="N60" s="341" t="s">
        <v>69</v>
      </c>
      <c r="O60" s="341" t="s">
        <v>67</v>
      </c>
    </row>
    <row r="61" spans="1:15" ht="28" customHeight="1" thickBot="1">
      <c r="A61" s="264"/>
      <c r="B61" s="332" t="s">
        <v>336</v>
      </c>
      <c r="C61" s="168"/>
      <c r="D61" s="264" t="s">
        <v>44</v>
      </c>
      <c r="E61" s="168" t="s">
        <v>571</v>
      </c>
      <c r="F61" s="341" t="s">
        <v>67</v>
      </c>
      <c r="G61" s="341" t="s">
        <v>69</v>
      </c>
      <c r="H61" s="341" t="s">
        <v>67</v>
      </c>
      <c r="I61" s="341" t="s">
        <v>69</v>
      </c>
      <c r="J61" s="341" t="s">
        <v>69</v>
      </c>
      <c r="K61" s="341" t="s">
        <v>69</v>
      </c>
      <c r="L61" s="341" t="s">
        <v>69</v>
      </c>
      <c r="M61" s="341" t="s">
        <v>67</v>
      </c>
      <c r="N61" s="341" t="s">
        <v>69</v>
      </c>
      <c r="O61" s="341" t="s">
        <v>67</v>
      </c>
    </row>
    <row r="62" spans="1:15" ht="28" customHeight="1" thickBot="1">
      <c r="A62" s="264"/>
      <c r="B62" s="332" t="s">
        <v>337</v>
      </c>
      <c r="C62" s="168"/>
      <c r="D62" s="264" t="s">
        <v>44</v>
      </c>
      <c r="E62" s="168" t="s">
        <v>572</v>
      </c>
      <c r="F62" s="341" t="s">
        <v>525</v>
      </c>
      <c r="G62" s="341" t="s">
        <v>67</v>
      </c>
      <c r="H62" s="341" t="s">
        <v>525</v>
      </c>
      <c r="I62" s="341" t="s">
        <v>69</v>
      </c>
      <c r="J62" s="341" t="s">
        <v>69</v>
      </c>
      <c r="K62" s="341" t="s">
        <v>69</v>
      </c>
      <c r="L62" s="341" t="s">
        <v>67</v>
      </c>
      <c r="M62" s="341" t="s">
        <v>525</v>
      </c>
      <c r="N62" s="341" t="s">
        <v>69</v>
      </c>
      <c r="O62" s="341" t="s">
        <v>525</v>
      </c>
    </row>
    <row r="63" spans="1:15" ht="25.5" customHeight="1" thickBot="1">
      <c r="A63" s="264"/>
      <c r="B63" s="332" t="s">
        <v>338</v>
      </c>
      <c r="C63" s="168"/>
      <c r="D63" s="264" t="s">
        <v>45</v>
      </c>
      <c r="E63" s="168" t="s">
        <v>573</v>
      </c>
      <c r="F63" s="341" t="s">
        <v>69</v>
      </c>
      <c r="G63" s="341" t="s">
        <v>69</v>
      </c>
      <c r="H63" s="341" t="s">
        <v>69</v>
      </c>
      <c r="I63" s="341" t="s">
        <v>69</v>
      </c>
      <c r="J63" s="341" t="s">
        <v>69</v>
      </c>
      <c r="K63" s="341" t="s">
        <v>69</v>
      </c>
      <c r="L63" s="341" t="s">
        <v>69</v>
      </c>
      <c r="M63" s="341" t="s">
        <v>69</v>
      </c>
      <c r="N63" s="341" t="s">
        <v>69</v>
      </c>
      <c r="O63" s="341" t="s">
        <v>67</v>
      </c>
    </row>
    <row r="64" spans="1:15" ht="25.5" customHeight="1" thickBot="1">
      <c r="A64" s="264"/>
      <c r="B64" s="332" t="s">
        <v>339</v>
      </c>
      <c r="C64" s="168"/>
      <c r="D64" s="264" t="s">
        <v>45</v>
      </c>
      <c r="E64" s="168" t="s">
        <v>574</v>
      </c>
      <c r="F64" s="341" t="s">
        <v>69</v>
      </c>
      <c r="G64" s="341" t="s">
        <v>69</v>
      </c>
      <c r="H64" s="341" t="s">
        <v>69</v>
      </c>
      <c r="I64" s="341" t="s">
        <v>69</v>
      </c>
      <c r="J64" s="341" t="s">
        <v>69</v>
      </c>
      <c r="K64" s="341" t="s">
        <v>69</v>
      </c>
      <c r="L64" s="341" t="s">
        <v>69</v>
      </c>
      <c r="M64" s="341" t="s">
        <v>69</v>
      </c>
      <c r="N64" s="341" t="s">
        <v>69</v>
      </c>
      <c r="O64" s="341" t="s">
        <v>69</v>
      </c>
    </row>
    <row r="65" spans="1:15" ht="25.5" customHeight="1" thickBot="1">
      <c r="A65" s="264"/>
      <c r="B65" s="332" t="s">
        <v>340</v>
      </c>
      <c r="C65" s="168"/>
      <c r="D65" s="264" t="s">
        <v>45</v>
      </c>
      <c r="E65" s="168" t="s">
        <v>575</v>
      </c>
      <c r="F65" s="341" t="s">
        <v>69</v>
      </c>
      <c r="G65" s="341" t="s">
        <v>69</v>
      </c>
      <c r="H65" s="341" t="s">
        <v>69</v>
      </c>
      <c r="I65" s="341" t="s">
        <v>69</v>
      </c>
      <c r="J65" s="341" t="s">
        <v>69</v>
      </c>
      <c r="K65" s="341" t="s">
        <v>69</v>
      </c>
      <c r="L65" s="341" t="s">
        <v>69</v>
      </c>
      <c r="M65" s="341" t="s">
        <v>69</v>
      </c>
      <c r="N65" s="341" t="s">
        <v>69</v>
      </c>
      <c r="O65" s="341" t="s">
        <v>525</v>
      </c>
    </row>
    <row r="66" spans="1:15" ht="25.5" customHeight="1" thickBot="1">
      <c r="A66" s="264"/>
      <c r="B66" s="332" t="s">
        <v>341</v>
      </c>
      <c r="C66" s="168"/>
      <c r="D66" s="264" t="s">
        <v>45</v>
      </c>
      <c r="E66" s="168" t="s">
        <v>576</v>
      </c>
      <c r="F66" s="341" t="s">
        <v>69</v>
      </c>
      <c r="G66" s="341" t="s">
        <v>69</v>
      </c>
      <c r="H66" s="341" t="s">
        <v>69</v>
      </c>
      <c r="I66" s="341" t="s">
        <v>69</v>
      </c>
      <c r="J66" s="341" t="s">
        <v>69</v>
      </c>
      <c r="K66" s="341" t="s">
        <v>69</v>
      </c>
      <c r="L66" s="341" t="s">
        <v>69</v>
      </c>
      <c r="M66" s="341" t="s">
        <v>67</v>
      </c>
      <c r="N66" s="341" t="s">
        <v>69</v>
      </c>
      <c r="O66" s="341" t="s">
        <v>69</v>
      </c>
    </row>
    <row r="67" spans="1:15" ht="25.5" customHeight="1" thickBot="1">
      <c r="A67" s="264"/>
      <c r="B67" s="332" t="s">
        <v>342</v>
      </c>
      <c r="C67" s="168"/>
      <c r="D67" s="264" t="s">
        <v>45</v>
      </c>
      <c r="E67" s="168" t="s">
        <v>577</v>
      </c>
      <c r="F67" s="341" t="s">
        <v>67</v>
      </c>
      <c r="G67" s="341" t="s">
        <v>69</v>
      </c>
      <c r="H67" s="341" t="s">
        <v>69</v>
      </c>
      <c r="I67" s="341" t="s">
        <v>69</v>
      </c>
      <c r="J67" s="341" t="s">
        <v>69</v>
      </c>
      <c r="K67" s="341" t="s">
        <v>69</v>
      </c>
      <c r="L67" s="341" t="s">
        <v>69</v>
      </c>
      <c r="M67" s="341" t="s">
        <v>69</v>
      </c>
      <c r="N67" s="341" t="s">
        <v>69</v>
      </c>
      <c r="O67" s="341" t="s">
        <v>69</v>
      </c>
    </row>
    <row r="68" spans="1:15" ht="25.5" customHeight="1" thickBot="1">
      <c r="A68" s="264"/>
      <c r="B68" s="332" t="s">
        <v>343</v>
      </c>
      <c r="C68" s="168"/>
      <c r="D68" s="264" t="s">
        <v>45</v>
      </c>
      <c r="E68" s="168" t="s">
        <v>578</v>
      </c>
      <c r="F68" s="341" t="s">
        <v>525</v>
      </c>
      <c r="G68" s="341" t="s">
        <v>69</v>
      </c>
      <c r="H68" s="341" t="s">
        <v>525</v>
      </c>
      <c r="I68" s="341" t="s">
        <v>69</v>
      </c>
      <c r="J68" s="341" t="s">
        <v>69</v>
      </c>
      <c r="K68" s="341" t="s">
        <v>69</v>
      </c>
      <c r="L68" s="341" t="s">
        <v>69</v>
      </c>
      <c r="M68" s="341" t="s">
        <v>525</v>
      </c>
      <c r="N68" s="341" t="s">
        <v>69</v>
      </c>
      <c r="O68" s="341" t="s">
        <v>525</v>
      </c>
    </row>
    <row r="69" spans="1:15" ht="25.5" customHeight="1" thickBot="1">
      <c r="A69" s="264"/>
      <c r="B69" s="332" t="s">
        <v>344</v>
      </c>
      <c r="C69" s="168"/>
      <c r="D69" s="264" t="s">
        <v>44</v>
      </c>
      <c r="E69" s="168" t="s">
        <v>579</v>
      </c>
      <c r="F69" s="341" t="s">
        <v>69</v>
      </c>
      <c r="G69" s="341" t="s">
        <v>69</v>
      </c>
      <c r="H69" s="341" t="s">
        <v>69</v>
      </c>
      <c r="I69" s="341" t="s">
        <v>69</v>
      </c>
      <c r="J69" s="341" t="s">
        <v>69</v>
      </c>
      <c r="K69" s="341" t="s">
        <v>69</v>
      </c>
      <c r="L69" s="341" t="s">
        <v>69</v>
      </c>
      <c r="M69" s="341" t="s">
        <v>69</v>
      </c>
      <c r="N69" s="341" t="s">
        <v>69</v>
      </c>
      <c r="O69" s="341" t="s">
        <v>69</v>
      </c>
    </row>
    <row r="70" spans="1:15" ht="25.5" customHeight="1" thickBot="1">
      <c r="A70" s="264"/>
      <c r="B70" s="332" t="s">
        <v>345</v>
      </c>
      <c r="C70" s="168"/>
      <c r="D70" s="264" t="s">
        <v>44</v>
      </c>
      <c r="E70" s="168" t="s">
        <v>580</v>
      </c>
      <c r="F70" s="341" t="s">
        <v>69</v>
      </c>
      <c r="G70" s="341" t="s">
        <v>69</v>
      </c>
      <c r="H70" s="341" t="s">
        <v>69</v>
      </c>
      <c r="I70" s="341" t="s">
        <v>69</v>
      </c>
      <c r="J70" s="341" t="s">
        <v>69</v>
      </c>
      <c r="K70" s="341" t="s">
        <v>69</v>
      </c>
      <c r="L70" s="341" t="s">
        <v>69</v>
      </c>
      <c r="M70" s="341" t="s">
        <v>69</v>
      </c>
      <c r="N70" s="341" t="s">
        <v>69</v>
      </c>
      <c r="O70" s="341" t="s">
        <v>67</v>
      </c>
    </row>
    <row r="71" spans="1:15" ht="25.5" customHeight="1" thickBot="1">
      <c r="A71" s="264"/>
      <c r="B71" s="332" t="s">
        <v>346</v>
      </c>
      <c r="C71" s="168"/>
      <c r="D71" s="264" t="s">
        <v>45</v>
      </c>
      <c r="E71" s="168" t="s">
        <v>581</v>
      </c>
      <c r="F71" s="341" t="s">
        <v>93</v>
      </c>
      <c r="G71" s="341" t="s">
        <v>93</v>
      </c>
      <c r="H71" s="341" t="s">
        <v>93</v>
      </c>
      <c r="I71" s="341" t="s">
        <v>93</v>
      </c>
      <c r="J71" s="341" t="s">
        <v>93</v>
      </c>
      <c r="K71" s="341" t="s">
        <v>93</v>
      </c>
      <c r="L71" s="341" t="s">
        <v>93</v>
      </c>
      <c r="M71" s="341" t="s">
        <v>93</v>
      </c>
      <c r="N71" s="341" t="s">
        <v>93</v>
      </c>
      <c r="O71" s="341" t="s">
        <v>93</v>
      </c>
    </row>
    <row r="72" spans="1:15" ht="25.5" customHeight="1" thickBot="1">
      <c r="A72" s="264"/>
      <c r="B72" s="332" t="s">
        <v>347</v>
      </c>
      <c r="C72" s="168"/>
      <c r="D72" s="264" t="s">
        <v>44</v>
      </c>
      <c r="E72" s="168" t="s">
        <v>582</v>
      </c>
      <c r="F72" s="341" t="s">
        <v>69</v>
      </c>
      <c r="G72" s="341" t="s">
        <v>69</v>
      </c>
      <c r="H72" s="341" t="s">
        <v>69</v>
      </c>
      <c r="I72" s="341" t="s">
        <v>69</v>
      </c>
      <c r="J72" s="341" t="s">
        <v>69</v>
      </c>
      <c r="K72" s="341" t="s">
        <v>69</v>
      </c>
      <c r="L72" s="341" t="s">
        <v>69</v>
      </c>
      <c r="M72" s="341" t="s">
        <v>69</v>
      </c>
      <c r="N72" s="341" t="s">
        <v>69</v>
      </c>
      <c r="O72" s="341" t="s">
        <v>69</v>
      </c>
    </row>
    <row r="73" spans="1:15" ht="25.5" customHeight="1" thickBot="1">
      <c r="A73" s="264"/>
      <c r="B73" s="332" t="s">
        <v>348</v>
      </c>
      <c r="C73" s="168"/>
      <c r="D73" s="264" t="s">
        <v>45</v>
      </c>
      <c r="E73" s="168" t="s">
        <v>583</v>
      </c>
      <c r="F73" s="341" t="s">
        <v>93</v>
      </c>
      <c r="G73" s="341" t="s">
        <v>93</v>
      </c>
      <c r="H73" s="341" t="s">
        <v>93</v>
      </c>
      <c r="I73" s="341" t="s">
        <v>93</v>
      </c>
      <c r="J73" s="341" t="s">
        <v>93</v>
      </c>
      <c r="K73" s="341" t="s">
        <v>93</v>
      </c>
      <c r="L73" s="341" t="s">
        <v>93</v>
      </c>
      <c r="M73" s="341" t="s">
        <v>93</v>
      </c>
      <c r="N73" s="341" t="s">
        <v>93</v>
      </c>
      <c r="O73" s="341" t="s">
        <v>93</v>
      </c>
    </row>
    <row r="74" spans="1:15" ht="25.5" customHeight="1">
      <c r="A74" s="333"/>
      <c r="B74" s="201"/>
      <c r="C74" s="201"/>
      <c r="D74" s="201"/>
      <c r="E74" s="201"/>
      <c r="F74" s="342"/>
      <c r="G74" s="342"/>
      <c r="H74" s="342"/>
      <c r="I74" s="342"/>
      <c r="J74" s="342"/>
      <c r="K74" s="342"/>
      <c r="L74" s="342"/>
      <c r="M74" s="342"/>
      <c r="N74" s="342"/>
      <c r="O74" s="342"/>
    </row>
    <row r="75" spans="1:15" ht="25.5" customHeight="1">
      <c r="A75" s="336">
        <v>6</v>
      </c>
      <c r="B75" s="324" t="s">
        <v>584</v>
      </c>
      <c r="C75" s="324"/>
      <c r="D75" s="324"/>
      <c r="E75" s="324"/>
      <c r="F75" s="324"/>
      <c r="G75" s="324"/>
      <c r="H75" s="324"/>
      <c r="I75" s="324"/>
      <c r="J75" s="324"/>
      <c r="K75" s="324"/>
      <c r="L75" s="324"/>
      <c r="M75" s="324"/>
      <c r="N75" s="324"/>
      <c r="O75" s="324"/>
    </row>
    <row r="76" spans="1:15" ht="25.5" customHeight="1" thickBot="1">
      <c r="A76" s="265"/>
      <c r="B76" s="331" t="s">
        <v>352</v>
      </c>
      <c r="C76" s="260" t="s">
        <v>585</v>
      </c>
      <c r="D76" s="265" t="s">
        <v>44</v>
      </c>
      <c r="E76" s="260" t="s">
        <v>586</v>
      </c>
      <c r="F76" s="341" t="s">
        <v>67</v>
      </c>
      <c r="G76" s="341" t="s">
        <v>67</v>
      </c>
      <c r="H76" s="341" t="s">
        <v>67</v>
      </c>
      <c r="I76" s="341" t="s">
        <v>67</v>
      </c>
      <c r="J76" s="341" t="s">
        <v>67</v>
      </c>
      <c r="K76" s="341" t="s">
        <v>69</v>
      </c>
      <c r="L76" s="341" t="s">
        <v>67</v>
      </c>
      <c r="M76" s="341" t="s">
        <v>67</v>
      </c>
      <c r="N76" s="341" t="s">
        <v>69</v>
      </c>
      <c r="O76" s="341" t="s">
        <v>67</v>
      </c>
    </row>
    <row r="77" spans="1:15" ht="25.5" customHeight="1" thickBot="1">
      <c r="A77" s="264"/>
      <c r="B77" s="332" t="s">
        <v>353</v>
      </c>
      <c r="C77" s="168"/>
      <c r="D77" s="264" t="s">
        <v>44</v>
      </c>
      <c r="E77" s="168" t="s">
        <v>587</v>
      </c>
      <c r="F77" s="341" t="s">
        <v>67</v>
      </c>
      <c r="G77" s="341" t="s">
        <v>69</v>
      </c>
      <c r="H77" s="341" t="s">
        <v>69</v>
      </c>
      <c r="I77" s="341" t="s">
        <v>67</v>
      </c>
      <c r="J77" s="341" t="s">
        <v>69</v>
      </c>
      <c r="K77" s="341" t="s">
        <v>69</v>
      </c>
      <c r="L77" s="341" t="s">
        <v>69</v>
      </c>
      <c r="M77" s="341" t="s">
        <v>67</v>
      </c>
      <c r="N77" s="341" t="s">
        <v>69</v>
      </c>
      <c r="O77" s="341" t="s">
        <v>67</v>
      </c>
    </row>
    <row r="78" spans="1:15" ht="25.5" customHeight="1" thickBot="1">
      <c r="A78" s="264"/>
      <c r="B78" s="332" t="s">
        <v>354</v>
      </c>
      <c r="C78" s="168"/>
      <c r="D78" s="264" t="s">
        <v>44</v>
      </c>
      <c r="E78" s="168" t="s">
        <v>588</v>
      </c>
      <c r="F78" s="341" t="s">
        <v>69</v>
      </c>
      <c r="G78" s="341" t="s">
        <v>69</v>
      </c>
      <c r="H78" s="341" t="s">
        <v>69</v>
      </c>
      <c r="I78" s="341" t="s">
        <v>67</v>
      </c>
      <c r="J78" s="341" t="s">
        <v>67</v>
      </c>
      <c r="K78" s="341" t="s">
        <v>69</v>
      </c>
      <c r="L78" s="341" t="s">
        <v>67</v>
      </c>
      <c r="M78" s="341" t="s">
        <v>67</v>
      </c>
      <c r="N78" s="341" t="s">
        <v>69</v>
      </c>
      <c r="O78" s="341" t="s">
        <v>69</v>
      </c>
    </row>
    <row r="79" spans="1:15" ht="25.5" customHeight="1" thickBot="1">
      <c r="A79" s="264"/>
      <c r="B79" s="332" t="s">
        <v>355</v>
      </c>
      <c r="C79" s="168"/>
      <c r="D79" s="264" t="s">
        <v>44</v>
      </c>
      <c r="E79" s="168" t="s">
        <v>589</v>
      </c>
      <c r="F79" s="341" t="s">
        <v>69</v>
      </c>
      <c r="G79" s="341" t="s">
        <v>69</v>
      </c>
      <c r="H79" s="341" t="s">
        <v>69</v>
      </c>
      <c r="I79" s="341" t="s">
        <v>67</v>
      </c>
      <c r="J79" s="341" t="s">
        <v>69</v>
      </c>
      <c r="K79" s="341" t="s">
        <v>69</v>
      </c>
      <c r="L79" s="341" t="s">
        <v>67</v>
      </c>
      <c r="M79" s="341" t="s">
        <v>69</v>
      </c>
      <c r="N79" s="341" t="s">
        <v>69</v>
      </c>
      <c r="O79" s="341" t="s">
        <v>67</v>
      </c>
    </row>
    <row r="80" spans="1:15" ht="25.5" customHeight="1" thickBot="1">
      <c r="A80" s="264"/>
      <c r="B80" s="332" t="s">
        <v>356</v>
      </c>
      <c r="C80" s="168"/>
      <c r="D80" s="264" t="s">
        <v>44</v>
      </c>
      <c r="E80" s="168" t="s">
        <v>590</v>
      </c>
      <c r="F80" s="341" t="s">
        <v>69</v>
      </c>
      <c r="G80" s="341" t="s">
        <v>69</v>
      </c>
      <c r="H80" s="341" t="s">
        <v>69</v>
      </c>
      <c r="I80" s="341" t="s">
        <v>69</v>
      </c>
      <c r="J80" s="341" t="s">
        <v>69</v>
      </c>
      <c r="K80" s="341" t="s">
        <v>69</v>
      </c>
      <c r="L80" s="341" t="s">
        <v>69</v>
      </c>
      <c r="M80" s="341" t="s">
        <v>69</v>
      </c>
      <c r="N80" s="341" t="s">
        <v>69</v>
      </c>
      <c r="O80" s="341" t="s">
        <v>69</v>
      </c>
    </row>
    <row r="81" spans="1:15" ht="25.5" customHeight="1" thickBot="1">
      <c r="A81" s="264"/>
      <c r="B81" s="332" t="s">
        <v>357</v>
      </c>
      <c r="C81" s="168"/>
      <c r="D81" s="264" t="s">
        <v>44</v>
      </c>
      <c r="E81" s="168" t="s">
        <v>591</v>
      </c>
      <c r="F81" s="341" t="s">
        <v>69</v>
      </c>
      <c r="G81" s="341" t="s">
        <v>69</v>
      </c>
      <c r="H81" s="341" t="s">
        <v>69</v>
      </c>
      <c r="I81" s="341" t="s">
        <v>69</v>
      </c>
      <c r="J81" s="341" t="s">
        <v>69</v>
      </c>
      <c r="K81" s="341" t="s">
        <v>69</v>
      </c>
      <c r="L81" s="341" t="s">
        <v>69</v>
      </c>
      <c r="M81" s="341" t="s">
        <v>69</v>
      </c>
      <c r="N81" s="341" t="s">
        <v>69</v>
      </c>
      <c r="O81" s="341" t="s">
        <v>69</v>
      </c>
    </row>
    <row r="82" spans="1:15" ht="25.5" customHeight="1" thickBot="1">
      <c r="A82" s="264"/>
      <c r="B82" s="332" t="s">
        <v>358</v>
      </c>
      <c r="C82" s="168"/>
      <c r="D82" s="264" t="s">
        <v>45</v>
      </c>
      <c r="E82" s="168" t="s">
        <v>592</v>
      </c>
      <c r="F82" s="341" t="s">
        <v>93</v>
      </c>
      <c r="G82" s="341" t="s">
        <v>93</v>
      </c>
      <c r="H82" s="341" t="s">
        <v>93</v>
      </c>
      <c r="I82" s="341" t="s">
        <v>93</v>
      </c>
      <c r="J82" s="341" t="s">
        <v>93</v>
      </c>
      <c r="K82" s="341" t="s">
        <v>93</v>
      </c>
      <c r="L82" s="341" t="s">
        <v>93</v>
      </c>
      <c r="M82" s="341" t="s">
        <v>93</v>
      </c>
      <c r="N82" s="341" t="s">
        <v>93</v>
      </c>
      <c r="O82" s="341" t="s">
        <v>93</v>
      </c>
    </row>
    <row r="83" spans="1:15" ht="25.5" customHeight="1" thickBot="1">
      <c r="A83" s="264"/>
      <c r="B83" s="332" t="s">
        <v>359</v>
      </c>
      <c r="C83" s="168"/>
      <c r="D83" s="264" t="s">
        <v>44</v>
      </c>
      <c r="E83" s="168" t="s">
        <v>593</v>
      </c>
      <c r="F83" s="341" t="s">
        <v>69</v>
      </c>
      <c r="G83" s="341" t="s">
        <v>69</v>
      </c>
      <c r="H83" s="341" t="s">
        <v>69</v>
      </c>
      <c r="I83" s="341" t="s">
        <v>69</v>
      </c>
      <c r="J83" s="341" t="s">
        <v>69</v>
      </c>
      <c r="K83" s="341" t="s">
        <v>69</v>
      </c>
      <c r="L83" s="341" t="s">
        <v>69</v>
      </c>
      <c r="M83" s="341" t="s">
        <v>69</v>
      </c>
      <c r="N83" s="341" t="s">
        <v>69</v>
      </c>
      <c r="O83" s="341" t="s">
        <v>69</v>
      </c>
    </row>
    <row r="84" spans="1:15" ht="25.5" customHeight="1" thickBot="1">
      <c r="A84" s="264"/>
      <c r="B84" s="332" t="s">
        <v>360</v>
      </c>
      <c r="C84" s="168"/>
      <c r="D84" s="264" t="s">
        <v>45</v>
      </c>
      <c r="E84" s="168" t="s">
        <v>594</v>
      </c>
      <c r="F84" s="341" t="s">
        <v>93</v>
      </c>
      <c r="G84" s="341" t="s">
        <v>93</v>
      </c>
      <c r="H84" s="341" t="s">
        <v>93</v>
      </c>
      <c r="I84" s="341" t="s">
        <v>93</v>
      </c>
      <c r="J84" s="341" t="s">
        <v>93</v>
      </c>
      <c r="K84" s="341" t="s">
        <v>93</v>
      </c>
      <c r="L84" s="341" t="s">
        <v>93</v>
      </c>
      <c r="M84" s="341" t="s">
        <v>93</v>
      </c>
      <c r="N84" s="341" t="s">
        <v>93</v>
      </c>
      <c r="O84" s="341" t="s">
        <v>93</v>
      </c>
    </row>
    <row r="85" spans="1:15" s="201" customFormat="1" ht="25.5" customHeight="1" thickBot="1">
      <c r="A85" s="334"/>
      <c r="F85" s="342"/>
      <c r="G85" s="342"/>
      <c r="H85" s="342"/>
      <c r="I85" s="342"/>
      <c r="J85" s="342"/>
      <c r="K85" s="342"/>
      <c r="L85" s="342"/>
      <c r="M85" s="342"/>
      <c r="N85" s="342"/>
      <c r="O85" s="342"/>
    </row>
    <row r="86" spans="1:15" ht="30" customHeight="1" thickBot="1">
      <c r="A86" s="264"/>
      <c r="B86" s="332" t="s">
        <v>364</v>
      </c>
      <c r="C86" s="168" t="s">
        <v>595</v>
      </c>
      <c r="D86" s="264" t="s">
        <v>46</v>
      </c>
      <c r="E86" s="168" t="s">
        <v>596</v>
      </c>
      <c r="F86" s="341" t="s">
        <v>67</v>
      </c>
      <c r="G86" s="341" t="s">
        <v>69</v>
      </c>
      <c r="H86" s="341" t="s">
        <v>69</v>
      </c>
      <c r="I86" s="341" t="s">
        <v>67</v>
      </c>
      <c r="J86" s="341" t="s">
        <v>69</v>
      </c>
      <c r="K86" s="341" t="s">
        <v>69</v>
      </c>
      <c r="L86" s="341" t="s">
        <v>67</v>
      </c>
      <c r="M86" s="341" t="s">
        <v>69</v>
      </c>
      <c r="N86" s="341" t="s">
        <v>69</v>
      </c>
      <c r="O86" s="341" t="s">
        <v>67</v>
      </c>
    </row>
    <row r="87" spans="1:15" ht="25.5" customHeight="1" thickBot="1">
      <c r="A87" s="264"/>
      <c r="B87" s="332" t="s">
        <v>365</v>
      </c>
      <c r="C87" s="168"/>
      <c r="D87" s="264" t="s">
        <v>46</v>
      </c>
      <c r="E87" s="168" t="s">
        <v>597</v>
      </c>
      <c r="F87" s="341" t="s">
        <v>67</v>
      </c>
      <c r="G87" s="341" t="s">
        <v>69</v>
      </c>
      <c r="H87" s="341" t="s">
        <v>69</v>
      </c>
      <c r="I87" s="341" t="s">
        <v>67</v>
      </c>
      <c r="J87" s="341" t="s">
        <v>69</v>
      </c>
      <c r="K87" s="341" t="s">
        <v>69</v>
      </c>
      <c r="L87" s="341" t="s">
        <v>67</v>
      </c>
      <c r="M87" s="341" t="s">
        <v>69</v>
      </c>
      <c r="N87" s="341" t="s">
        <v>69</v>
      </c>
      <c r="O87" s="341" t="s">
        <v>67</v>
      </c>
    </row>
    <row r="88" spans="1:15" ht="25.5" customHeight="1" thickBot="1">
      <c r="A88" s="264"/>
      <c r="B88" s="332" t="s">
        <v>366</v>
      </c>
      <c r="C88" s="168"/>
      <c r="D88" s="264" t="s">
        <v>46</v>
      </c>
      <c r="E88" s="168" t="s">
        <v>598</v>
      </c>
      <c r="F88" s="341" t="s">
        <v>69</v>
      </c>
      <c r="G88" s="341" t="s">
        <v>69</v>
      </c>
      <c r="H88" s="341" t="s">
        <v>69</v>
      </c>
      <c r="I88" s="341" t="s">
        <v>69</v>
      </c>
      <c r="J88" s="341" t="s">
        <v>69</v>
      </c>
      <c r="K88" s="341" t="s">
        <v>69</v>
      </c>
      <c r="L88" s="341" t="s">
        <v>69</v>
      </c>
      <c r="M88" s="341" t="s">
        <v>69</v>
      </c>
      <c r="N88" s="341" t="s">
        <v>69</v>
      </c>
      <c r="O88" s="341" t="s">
        <v>69</v>
      </c>
    </row>
    <row r="89" spans="1:15" ht="25.5" customHeight="1" thickBot="1">
      <c r="A89" s="264"/>
      <c r="B89" s="332" t="s">
        <v>367</v>
      </c>
      <c r="C89" s="168"/>
      <c r="D89" s="264" t="s">
        <v>46</v>
      </c>
      <c r="E89" s="168" t="s">
        <v>599</v>
      </c>
      <c r="F89" s="341" t="s">
        <v>67</v>
      </c>
      <c r="G89" s="341" t="s">
        <v>67</v>
      </c>
      <c r="H89" s="341" t="s">
        <v>69</v>
      </c>
      <c r="I89" s="341" t="s">
        <v>67</v>
      </c>
      <c r="J89" s="341" t="s">
        <v>69</v>
      </c>
      <c r="K89" s="341" t="s">
        <v>69</v>
      </c>
      <c r="L89" s="341" t="s">
        <v>67</v>
      </c>
      <c r="M89" s="341" t="s">
        <v>69</v>
      </c>
      <c r="N89" s="341" t="s">
        <v>69</v>
      </c>
      <c r="O89" s="341" t="s">
        <v>67</v>
      </c>
    </row>
    <row r="90" spans="1:15" ht="25.5" customHeight="1" thickBot="1">
      <c r="A90" s="264"/>
      <c r="B90" s="332" t="s">
        <v>368</v>
      </c>
      <c r="C90" s="168"/>
      <c r="D90" s="264" t="s">
        <v>46</v>
      </c>
      <c r="E90" s="168" t="s">
        <v>600</v>
      </c>
      <c r="F90" s="341" t="s">
        <v>67</v>
      </c>
      <c r="G90" s="341" t="s">
        <v>69</v>
      </c>
      <c r="H90" s="341" t="s">
        <v>69</v>
      </c>
      <c r="I90" s="341" t="s">
        <v>69</v>
      </c>
      <c r="J90" s="341" t="s">
        <v>69</v>
      </c>
      <c r="K90" s="341" t="s">
        <v>69</v>
      </c>
      <c r="L90" s="341" t="s">
        <v>67</v>
      </c>
      <c r="M90" s="341" t="s">
        <v>69</v>
      </c>
      <c r="N90" s="341" t="s">
        <v>69</v>
      </c>
      <c r="O90" s="341" t="s">
        <v>69</v>
      </c>
    </row>
    <row r="91" spans="1:15" ht="25.5" customHeight="1" thickBot="1">
      <c r="A91" s="264"/>
      <c r="B91" s="332" t="s">
        <v>369</v>
      </c>
      <c r="C91" s="168"/>
      <c r="D91" s="264" t="s">
        <v>46</v>
      </c>
      <c r="E91" s="168" t="s">
        <v>601</v>
      </c>
      <c r="F91" s="341" t="s">
        <v>67</v>
      </c>
      <c r="G91" s="341" t="s">
        <v>69</v>
      </c>
      <c r="H91" s="341" t="s">
        <v>69</v>
      </c>
      <c r="I91" s="341" t="s">
        <v>67</v>
      </c>
      <c r="J91" s="341" t="s">
        <v>69</v>
      </c>
      <c r="K91" s="341" t="s">
        <v>69</v>
      </c>
      <c r="L91" s="341" t="s">
        <v>67</v>
      </c>
      <c r="M91" s="341" t="s">
        <v>69</v>
      </c>
      <c r="N91" s="341" t="s">
        <v>69</v>
      </c>
      <c r="O91" s="341" t="s">
        <v>67</v>
      </c>
    </row>
    <row r="92" spans="1:15" ht="25.5" customHeight="1" thickBot="1">
      <c r="A92" s="264"/>
      <c r="B92" s="332" t="s">
        <v>370</v>
      </c>
      <c r="C92" s="168"/>
      <c r="D92" s="264" t="s">
        <v>46</v>
      </c>
      <c r="E92" s="168" t="s">
        <v>602</v>
      </c>
      <c r="F92" s="341" t="s">
        <v>69</v>
      </c>
      <c r="G92" s="341" t="s">
        <v>69</v>
      </c>
      <c r="H92" s="341" t="s">
        <v>69</v>
      </c>
      <c r="I92" s="341" t="s">
        <v>69</v>
      </c>
      <c r="J92" s="341" t="s">
        <v>69</v>
      </c>
      <c r="K92" s="341" t="s">
        <v>69</v>
      </c>
      <c r="L92" s="341" t="s">
        <v>69</v>
      </c>
      <c r="M92" s="341" t="s">
        <v>69</v>
      </c>
      <c r="N92" s="341" t="s">
        <v>69</v>
      </c>
      <c r="O92" s="341" t="s">
        <v>69</v>
      </c>
    </row>
    <row r="93" spans="1:15" ht="25.5" customHeight="1" thickBot="1">
      <c r="A93" s="264"/>
      <c r="B93" s="332" t="s">
        <v>371</v>
      </c>
      <c r="C93" s="168"/>
      <c r="D93" s="264" t="s">
        <v>46</v>
      </c>
      <c r="E93" s="168" t="s">
        <v>603</v>
      </c>
      <c r="F93" s="341" t="s">
        <v>67</v>
      </c>
      <c r="G93" s="341" t="s">
        <v>67</v>
      </c>
      <c r="H93" s="341" t="s">
        <v>69</v>
      </c>
      <c r="I93" s="341" t="s">
        <v>67</v>
      </c>
      <c r="J93" s="341" t="s">
        <v>69</v>
      </c>
      <c r="K93" s="341" t="s">
        <v>69</v>
      </c>
      <c r="L93" s="341" t="s">
        <v>67</v>
      </c>
      <c r="M93" s="341" t="s">
        <v>69</v>
      </c>
      <c r="N93" s="341" t="s">
        <v>69</v>
      </c>
      <c r="O93" s="341" t="s">
        <v>67</v>
      </c>
    </row>
    <row r="94" spans="1:15" ht="25.5" customHeight="1" thickBot="1">
      <c r="A94" s="264"/>
      <c r="B94" s="332" t="s">
        <v>372</v>
      </c>
      <c r="C94" s="168"/>
      <c r="D94" s="264" t="s">
        <v>46</v>
      </c>
      <c r="E94" s="168" t="s">
        <v>604</v>
      </c>
      <c r="F94" s="341" t="s">
        <v>93</v>
      </c>
      <c r="G94" s="341" t="s">
        <v>93</v>
      </c>
      <c r="H94" s="341" t="s">
        <v>93</v>
      </c>
      <c r="I94" s="341" t="s">
        <v>93</v>
      </c>
      <c r="J94" s="341" t="s">
        <v>93</v>
      </c>
      <c r="K94" s="341" t="s">
        <v>93</v>
      </c>
      <c r="L94" s="341" t="s">
        <v>93</v>
      </c>
      <c r="M94" s="341" t="s">
        <v>93</v>
      </c>
      <c r="N94" s="341" t="s">
        <v>93</v>
      </c>
      <c r="O94" s="341" t="s">
        <v>93</v>
      </c>
    </row>
    <row r="95" spans="1:15" s="201" customFormat="1" ht="25.5" customHeight="1" thickBot="1">
      <c r="A95" s="334"/>
      <c r="F95" s="342"/>
      <c r="G95" s="342"/>
      <c r="H95" s="342"/>
      <c r="I95" s="342"/>
      <c r="J95" s="342"/>
      <c r="K95" s="342"/>
      <c r="L95" s="342"/>
      <c r="M95" s="342"/>
      <c r="N95" s="342"/>
      <c r="O95" s="342"/>
    </row>
    <row r="96" spans="1:15" ht="25.5" customHeight="1" thickBot="1">
      <c r="A96" s="264"/>
      <c r="B96" s="332" t="s">
        <v>373</v>
      </c>
      <c r="C96" s="168" t="s">
        <v>605</v>
      </c>
      <c r="D96" s="264" t="s">
        <v>44</v>
      </c>
      <c r="E96" s="168" t="s">
        <v>606</v>
      </c>
      <c r="F96" s="341" t="s">
        <v>69</v>
      </c>
      <c r="G96" s="341" t="s">
        <v>69</v>
      </c>
      <c r="H96" s="341" t="s">
        <v>69</v>
      </c>
      <c r="I96" s="341" t="s">
        <v>69</v>
      </c>
      <c r="J96" s="341" t="s">
        <v>69</v>
      </c>
      <c r="K96" s="341" t="s">
        <v>69</v>
      </c>
      <c r="L96" s="341" t="s">
        <v>69</v>
      </c>
      <c r="M96" s="341" t="s">
        <v>69</v>
      </c>
      <c r="N96" s="341" t="s">
        <v>69</v>
      </c>
      <c r="O96" s="341" t="s">
        <v>69</v>
      </c>
    </row>
    <row r="97" spans="1:15" ht="25.5" customHeight="1" thickBot="1">
      <c r="A97" s="264"/>
      <c r="B97" s="332" t="s">
        <v>375</v>
      </c>
      <c r="C97" s="168"/>
      <c r="D97" s="264" t="s">
        <v>44</v>
      </c>
      <c r="E97" s="168" t="s">
        <v>607</v>
      </c>
      <c r="F97" s="341" t="s">
        <v>69</v>
      </c>
      <c r="G97" s="341" t="s">
        <v>69</v>
      </c>
      <c r="H97" s="341" t="s">
        <v>69</v>
      </c>
      <c r="I97" s="341" t="s">
        <v>69</v>
      </c>
      <c r="J97" s="341" t="s">
        <v>69</v>
      </c>
      <c r="K97" s="341" t="s">
        <v>69</v>
      </c>
      <c r="L97" s="341" t="s">
        <v>69</v>
      </c>
      <c r="M97" s="341" t="s">
        <v>69</v>
      </c>
      <c r="N97" s="341" t="s">
        <v>69</v>
      </c>
      <c r="O97" s="341" t="s">
        <v>67</v>
      </c>
    </row>
    <row r="98" spans="1:15" ht="25.5" customHeight="1">
      <c r="A98" s="333"/>
      <c r="B98" s="201"/>
      <c r="C98" s="201"/>
      <c r="D98" s="201"/>
      <c r="E98" s="201"/>
      <c r="F98" s="342"/>
      <c r="G98" s="342"/>
      <c r="H98" s="342"/>
      <c r="I98" s="342"/>
      <c r="J98" s="342"/>
      <c r="K98" s="342"/>
      <c r="L98" s="342"/>
      <c r="M98" s="342"/>
      <c r="N98" s="342"/>
      <c r="O98" s="342"/>
    </row>
    <row r="99" spans="1:15" ht="25.5" customHeight="1">
      <c r="A99" s="336">
        <v>7</v>
      </c>
      <c r="B99" s="324" t="s">
        <v>608</v>
      </c>
      <c r="C99" s="324"/>
      <c r="D99" s="324"/>
      <c r="E99" s="324"/>
      <c r="F99" s="324"/>
      <c r="G99" s="324"/>
      <c r="H99" s="324"/>
      <c r="I99" s="324"/>
      <c r="J99" s="324"/>
      <c r="K99" s="324"/>
      <c r="L99" s="324"/>
      <c r="M99" s="324"/>
      <c r="N99" s="324"/>
      <c r="O99" s="324"/>
    </row>
    <row r="100" spans="1:15" ht="25.5" customHeight="1">
      <c r="A100" s="333"/>
      <c r="B100" s="201"/>
      <c r="C100" s="201"/>
      <c r="D100" s="201"/>
      <c r="E100" s="201"/>
      <c r="F100" s="342"/>
      <c r="G100" s="342"/>
      <c r="H100" s="342"/>
      <c r="I100" s="342"/>
      <c r="J100" s="342"/>
      <c r="K100" s="342"/>
      <c r="L100" s="342"/>
      <c r="M100" s="342"/>
      <c r="N100" s="342"/>
      <c r="O100" s="342"/>
    </row>
    <row r="101" spans="1:15" ht="25.5" customHeight="1">
      <c r="A101" s="336">
        <v>8</v>
      </c>
      <c r="B101" s="324" t="s">
        <v>499</v>
      </c>
      <c r="C101" s="324"/>
      <c r="D101" s="324"/>
      <c r="E101" s="324"/>
      <c r="F101" s="324"/>
      <c r="G101" s="324"/>
      <c r="H101" s="324"/>
      <c r="I101" s="324"/>
      <c r="J101" s="324"/>
      <c r="K101" s="324"/>
      <c r="L101" s="324"/>
      <c r="M101" s="324"/>
      <c r="N101" s="324"/>
      <c r="O101" s="324"/>
    </row>
    <row r="102" spans="1:15" ht="25.5" customHeight="1">
      <c r="A102" s="333"/>
      <c r="B102" s="201"/>
      <c r="C102" s="201"/>
      <c r="D102" s="201"/>
      <c r="E102" s="201"/>
      <c r="F102" s="342"/>
      <c r="G102" s="342"/>
      <c r="H102" s="342"/>
      <c r="I102" s="342"/>
      <c r="J102" s="342"/>
      <c r="K102" s="342"/>
      <c r="L102" s="342"/>
      <c r="M102" s="342"/>
      <c r="N102" s="342"/>
      <c r="O102" s="342"/>
    </row>
    <row r="103" spans="1:15" ht="25.5" customHeight="1">
      <c r="A103" s="336">
        <v>9</v>
      </c>
      <c r="B103" s="324" t="s">
        <v>501</v>
      </c>
      <c r="C103" s="324"/>
      <c r="D103" s="324"/>
      <c r="E103" s="324"/>
      <c r="F103" s="324"/>
      <c r="G103" s="324"/>
      <c r="H103" s="324"/>
      <c r="I103" s="324"/>
      <c r="J103" s="324"/>
      <c r="K103" s="324"/>
      <c r="L103" s="324"/>
      <c r="M103" s="324"/>
      <c r="N103" s="324"/>
      <c r="O103" s="324"/>
    </row>
    <row r="104" spans="1:15" ht="25.5" customHeight="1">
      <c r="A104" s="333"/>
      <c r="B104" s="201"/>
      <c r="C104" s="201"/>
      <c r="D104" s="201"/>
      <c r="E104" s="201"/>
      <c r="F104" s="342"/>
      <c r="G104" s="342"/>
      <c r="H104" s="342"/>
      <c r="I104" s="342"/>
      <c r="J104" s="342"/>
      <c r="K104" s="342"/>
      <c r="L104" s="342"/>
      <c r="M104" s="342"/>
      <c r="N104" s="342"/>
      <c r="O104" s="342"/>
    </row>
    <row r="105" spans="1:15" ht="25.5" customHeight="1" thickBot="1">
      <c r="A105" s="336">
        <v>10</v>
      </c>
      <c r="B105" s="324" t="s">
        <v>503</v>
      </c>
      <c r="C105" s="324"/>
      <c r="D105" s="324"/>
      <c r="E105" s="324"/>
      <c r="F105" s="324"/>
      <c r="G105" s="324"/>
      <c r="H105" s="324"/>
      <c r="I105" s="324"/>
      <c r="J105" s="324"/>
      <c r="K105" s="324"/>
      <c r="L105" s="324"/>
      <c r="M105" s="324"/>
      <c r="N105" s="324"/>
      <c r="O105" s="324"/>
    </row>
    <row r="106" spans="1:15" ht="31" customHeight="1" thickBot="1">
      <c r="A106" s="264"/>
      <c r="B106" s="331" t="s">
        <v>236</v>
      </c>
      <c r="C106" s="260" t="s">
        <v>609</v>
      </c>
      <c r="D106" s="265" t="s">
        <v>44</v>
      </c>
      <c r="E106" s="268" t="s">
        <v>610</v>
      </c>
      <c r="F106" s="269" t="s">
        <v>69</v>
      </c>
      <c r="G106" s="266" t="s">
        <v>67</v>
      </c>
      <c r="H106" s="266" t="s">
        <v>69</v>
      </c>
      <c r="I106" s="266" t="s">
        <v>69</v>
      </c>
      <c r="J106" s="266" t="s">
        <v>69</v>
      </c>
      <c r="K106" s="266" t="s">
        <v>69</v>
      </c>
      <c r="L106" s="266" t="s">
        <v>67</v>
      </c>
      <c r="M106" s="266" t="s">
        <v>69</v>
      </c>
      <c r="N106" s="266" t="s">
        <v>69</v>
      </c>
      <c r="O106" s="266" t="s">
        <v>69</v>
      </c>
    </row>
    <row r="107" spans="1:15" ht="25.5" customHeight="1" thickBot="1">
      <c r="A107" s="264"/>
      <c r="B107" s="332" t="s">
        <v>238</v>
      </c>
      <c r="C107" s="168"/>
      <c r="D107" s="264" t="s">
        <v>44</v>
      </c>
      <c r="E107" s="168" t="s">
        <v>611</v>
      </c>
      <c r="F107" s="266" t="s">
        <v>69</v>
      </c>
      <c r="G107" s="266" t="s">
        <v>69</v>
      </c>
      <c r="H107" s="266" t="s">
        <v>69</v>
      </c>
      <c r="I107" s="266" t="s">
        <v>69</v>
      </c>
      <c r="J107" s="266" t="s">
        <v>69</v>
      </c>
      <c r="K107" s="266" t="s">
        <v>69</v>
      </c>
      <c r="L107" s="266" t="s">
        <v>69</v>
      </c>
      <c r="M107" s="266" t="s">
        <v>69</v>
      </c>
      <c r="N107" s="266" t="s">
        <v>69</v>
      </c>
      <c r="O107" s="266" t="s">
        <v>69</v>
      </c>
    </row>
    <row r="108" spans="1:15" ht="25.5" customHeight="1" thickBot="1">
      <c r="A108" s="264"/>
      <c r="B108" s="332" t="s">
        <v>240</v>
      </c>
      <c r="C108" s="168"/>
      <c r="D108" s="264" t="s">
        <v>44</v>
      </c>
      <c r="E108" s="168" t="s">
        <v>612</v>
      </c>
      <c r="F108" s="266" t="s">
        <v>69</v>
      </c>
      <c r="G108" s="266" t="s">
        <v>69</v>
      </c>
      <c r="H108" s="266" t="s">
        <v>69</v>
      </c>
      <c r="I108" s="266" t="s">
        <v>69</v>
      </c>
      <c r="J108" s="266" t="s">
        <v>69</v>
      </c>
      <c r="K108" s="266" t="s">
        <v>69</v>
      </c>
      <c r="L108" s="266" t="s">
        <v>69</v>
      </c>
      <c r="M108" s="266" t="s">
        <v>69</v>
      </c>
      <c r="N108" s="266" t="s">
        <v>69</v>
      </c>
      <c r="O108" s="266" t="s">
        <v>69</v>
      </c>
    </row>
    <row r="109" spans="1:15" ht="25.5" customHeight="1" thickBot="1">
      <c r="A109" s="264"/>
      <c r="B109" s="332" t="s">
        <v>242</v>
      </c>
      <c r="C109" s="168"/>
      <c r="D109" s="264" t="s">
        <v>44</v>
      </c>
      <c r="E109" s="168" t="s">
        <v>613</v>
      </c>
      <c r="F109" s="266" t="s">
        <v>69</v>
      </c>
      <c r="G109" s="266" t="s">
        <v>67</v>
      </c>
      <c r="H109" s="266" t="s">
        <v>69</v>
      </c>
      <c r="I109" s="266" t="s">
        <v>67</v>
      </c>
      <c r="J109" s="266" t="s">
        <v>69</v>
      </c>
      <c r="K109" s="266" t="s">
        <v>69</v>
      </c>
      <c r="L109" s="266" t="s">
        <v>69</v>
      </c>
      <c r="M109" s="266" t="s">
        <v>69</v>
      </c>
      <c r="N109" s="266" t="s">
        <v>69</v>
      </c>
      <c r="O109" s="266" t="s">
        <v>69</v>
      </c>
    </row>
    <row r="110" spans="1:15" s="201" customFormat="1" ht="25.5" customHeight="1" thickBot="1">
      <c r="A110" s="334"/>
      <c r="C110" s="276"/>
      <c r="F110" s="267"/>
      <c r="G110" s="267"/>
      <c r="H110" s="267"/>
      <c r="I110" s="267"/>
      <c r="J110" s="267"/>
      <c r="K110" s="267"/>
      <c r="L110" s="267"/>
      <c r="M110" s="267"/>
      <c r="N110" s="267"/>
      <c r="O110" s="267"/>
    </row>
    <row r="111" spans="1:15" ht="30" customHeight="1" thickBot="1">
      <c r="A111" s="264"/>
      <c r="B111" s="332" t="s">
        <v>245</v>
      </c>
      <c r="C111" s="168" t="s">
        <v>614</v>
      </c>
      <c r="D111" s="264" t="s">
        <v>44</v>
      </c>
      <c r="E111" s="168" t="s">
        <v>615</v>
      </c>
      <c r="F111" s="266" t="s">
        <v>67</v>
      </c>
      <c r="G111" s="266" t="s">
        <v>67</v>
      </c>
      <c r="H111" s="266" t="s">
        <v>69</v>
      </c>
      <c r="I111" s="266" t="s">
        <v>67</v>
      </c>
      <c r="J111" s="266" t="s">
        <v>69</v>
      </c>
      <c r="K111" s="266" t="s">
        <v>69</v>
      </c>
      <c r="L111" s="266" t="s">
        <v>67</v>
      </c>
      <c r="M111" s="266" t="s">
        <v>67</v>
      </c>
      <c r="N111" s="266" t="s">
        <v>69</v>
      </c>
      <c r="O111" s="266" t="s">
        <v>69</v>
      </c>
    </row>
    <row r="112" spans="1:15" ht="25.5" customHeight="1" thickBot="1">
      <c r="A112" s="264"/>
      <c r="B112" s="332" t="s">
        <v>247</v>
      </c>
      <c r="C112" s="168"/>
      <c r="D112" s="264" t="s">
        <v>44</v>
      </c>
      <c r="E112" s="168" t="s">
        <v>616</v>
      </c>
      <c r="F112" s="266" t="s">
        <v>67</v>
      </c>
      <c r="G112" s="266" t="s">
        <v>67</v>
      </c>
      <c r="H112" s="266" t="s">
        <v>67</v>
      </c>
      <c r="I112" s="266" t="s">
        <v>67</v>
      </c>
      <c r="J112" s="266" t="s">
        <v>69</v>
      </c>
      <c r="K112" s="266" t="s">
        <v>67</v>
      </c>
      <c r="L112" s="266" t="s">
        <v>69</v>
      </c>
      <c r="M112" s="266" t="s">
        <v>67</v>
      </c>
      <c r="N112" s="266" t="s">
        <v>69</v>
      </c>
      <c r="O112" s="266" t="s">
        <v>67</v>
      </c>
    </row>
    <row r="113" spans="1:16" ht="25.5" customHeight="1" thickBot="1">
      <c r="A113" s="264"/>
      <c r="B113" s="332" t="s">
        <v>249</v>
      </c>
      <c r="C113" s="168"/>
      <c r="D113" s="264" t="s">
        <v>44</v>
      </c>
      <c r="E113" s="168" t="s">
        <v>617</v>
      </c>
      <c r="F113" s="266" t="s">
        <v>69</v>
      </c>
      <c r="G113" s="266" t="s">
        <v>69</v>
      </c>
      <c r="H113" s="266" t="s">
        <v>69</v>
      </c>
      <c r="I113" s="266" t="s">
        <v>67</v>
      </c>
      <c r="J113" s="266" t="s">
        <v>69</v>
      </c>
      <c r="K113" s="266" t="s">
        <v>69</v>
      </c>
      <c r="L113" s="266" t="s">
        <v>69</v>
      </c>
      <c r="M113" s="266" t="s">
        <v>67</v>
      </c>
      <c r="N113" s="266" t="s">
        <v>69</v>
      </c>
      <c r="O113" s="266" t="s">
        <v>69</v>
      </c>
    </row>
    <row r="114" spans="1:16" ht="25.5" customHeight="1">
      <c r="A114" s="333"/>
      <c r="B114" s="206"/>
      <c r="C114" s="206"/>
      <c r="D114" s="206"/>
      <c r="E114" s="206"/>
      <c r="F114" s="343"/>
      <c r="G114" s="343"/>
      <c r="H114" s="343"/>
      <c r="I114" s="343"/>
      <c r="J114" s="343"/>
      <c r="K114" s="343"/>
      <c r="L114" s="342"/>
      <c r="M114" s="343"/>
      <c r="N114" s="343"/>
      <c r="O114" s="343"/>
      <c r="P114" s="206"/>
    </row>
    <row r="115" spans="1:16" s="325" customFormat="1" ht="25.5" customHeight="1">
      <c r="A115" s="337">
        <v>11</v>
      </c>
      <c r="B115" s="326" t="s">
        <v>618</v>
      </c>
      <c r="C115" s="326"/>
      <c r="D115" s="326"/>
      <c r="E115" s="326"/>
      <c r="F115" s="326"/>
      <c r="G115" s="326"/>
      <c r="H115" s="326"/>
      <c r="I115" s="326"/>
      <c r="J115" s="326"/>
      <c r="K115" s="326"/>
      <c r="L115" s="326"/>
      <c r="M115" s="326"/>
      <c r="N115" s="326"/>
      <c r="O115" s="326"/>
    </row>
    <row r="116" spans="1:16" ht="25.5" customHeight="1">
      <c r="A116" s="201"/>
      <c r="B116" s="206"/>
      <c r="C116" s="206"/>
      <c r="D116" s="206"/>
      <c r="E116" s="206"/>
      <c r="F116" s="343"/>
      <c r="G116" s="343"/>
      <c r="H116" s="343"/>
      <c r="I116" s="343"/>
      <c r="J116" s="343"/>
      <c r="K116" s="343"/>
      <c r="L116" s="342"/>
      <c r="M116" s="343"/>
      <c r="N116" s="343"/>
      <c r="O116" s="343"/>
      <c r="P116" s="206"/>
    </row>
    <row r="117" spans="1:16" ht="25.5" customHeight="1">
      <c r="A117" s="201"/>
      <c r="B117" s="206"/>
      <c r="C117" s="206"/>
      <c r="D117" s="206"/>
      <c r="E117" s="206"/>
      <c r="F117" s="343"/>
      <c r="G117" s="343"/>
      <c r="H117" s="343"/>
      <c r="I117" s="343"/>
      <c r="J117" s="343"/>
      <c r="K117" s="343"/>
      <c r="L117" s="342"/>
      <c r="M117" s="343"/>
      <c r="N117" s="343"/>
      <c r="O117" s="343"/>
      <c r="P117" s="206"/>
    </row>
    <row r="118" spans="1:16" ht="14.5" hidden="1">
      <c r="A118" s="201"/>
      <c r="B118" s="206"/>
      <c r="C118" s="206"/>
      <c r="D118" s="206"/>
      <c r="E118" s="206"/>
      <c r="F118" s="206"/>
      <c r="G118" s="206"/>
      <c r="H118" s="206"/>
      <c r="I118" s="206"/>
      <c r="J118" s="206"/>
      <c r="K118" s="206"/>
      <c r="L118" s="201"/>
      <c r="M118" s="206"/>
      <c r="N118" s="206"/>
      <c r="O118" s="206"/>
      <c r="P118" s="206"/>
    </row>
  </sheetData>
  <sheetProtection sheet="1" objects="1" scenarios="1"/>
  <mergeCells count="3">
    <mergeCell ref="B3:C3"/>
    <mergeCell ref="I1:O1"/>
    <mergeCell ref="F2:O2"/>
  </mergeCells>
  <conditionalFormatting sqref="B114:K114 B116:K118">
    <cfRule type="cellIs" dxfId="81" priority="15" operator="equal">
      <formula>"The company meets all criteria for this metric"</formula>
    </cfRule>
  </conditionalFormatting>
  <conditionalFormatting sqref="B10:O113 A38:F38">
    <cfRule type="cellIs" dxfId="80" priority="1" operator="equal">
      <formula>"Not applicable"</formula>
    </cfRule>
    <cfRule type="cellIs" dxfId="79" priority="2" operator="equal">
      <formula>"Under development"</formula>
    </cfRule>
  </conditionalFormatting>
  <conditionalFormatting sqref="F10:O12 F15:O17 F22:O23 F25:O37 F39:O73 F76:O97">
    <cfRule type="cellIs" dxfId="78" priority="19" operator="equal">
      <formula>"Y"</formula>
    </cfRule>
  </conditionalFormatting>
  <conditionalFormatting sqref="F10:O12">
    <cfRule type="cellIs" dxfId="77" priority="76" operator="equal">
      <formula>"N"</formula>
    </cfRule>
    <cfRule type="cellIs" dxfId="76" priority="75" operator="equal">
      <formula>"No"</formula>
    </cfRule>
    <cfRule type="cellIs" dxfId="75" priority="77" operator="equal">
      <formula>"Not Relevant"</formula>
    </cfRule>
    <cfRule type="cellIs" dxfId="74" priority="78" operator="equal">
      <formula>"Yes"</formula>
    </cfRule>
    <cfRule type="cellIs" dxfId="73" priority="79" operator="equal">
      <formula>"Not Operational"</formula>
    </cfRule>
  </conditionalFormatting>
  <conditionalFormatting sqref="F15:O17">
    <cfRule type="cellIs" dxfId="72" priority="74" operator="equal">
      <formula>"Not Operational"</formula>
    </cfRule>
    <cfRule type="cellIs" dxfId="71" priority="73" operator="equal">
      <formula>"Yes"</formula>
    </cfRule>
    <cfRule type="cellIs" dxfId="70" priority="72" operator="equal">
      <formula>"Not Relevant"</formula>
    </cfRule>
    <cfRule type="cellIs" dxfId="69" priority="70" operator="equal">
      <formula>"No"</formula>
    </cfRule>
    <cfRule type="cellIs" dxfId="68" priority="71" operator="equal">
      <formula>"N"</formula>
    </cfRule>
  </conditionalFormatting>
  <conditionalFormatting sqref="F22:O23">
    <cfRule type="cellIs" dxfId="67" priority="69" operator="equal">
      <formula>"Not Operational"</formula>
    </cfRule>
    <cfRule type="cellIs" dxfId="66" priority="68" operator="equal">
      <formula>"Yes"</formula>
    </cfRule>
    <cfRule type="cellIs" dxfId="65" priority="67" operator="equal">
      <formula>"Not Relevant"</formula>
    </cfRule>
    <cfRule type="cellIs" dxfId="64" priority="66" operator="equal">
      <formula>"N"</formula>
    </cfRule>
    <cfRule type="cellIs" dxfId="63" priority="65" operator="equal">
      <formula>"No"</formula>
    </cfRule>
  </conditionalFormatting>
  <conditionalFormatting sqref="F25:O37">
    <cfRule type="cellIs" dxfId="62" priority="64" operator="equal">
      <formula>"Not Operational"</formula>
    </cfRule>
    <cfRule type="cellIs" dxfId="61" priority="60" operator="equal">
      <formula>"No"</formula>
    </cfRule>
    <cfRule type="cellIs" dxfId="60" priority="62" operator="equal">
      <formula>"Not Relevant"</formula>
    </cfRule>
    <cfRule type="cellIs" dxfId="59" priority="61" operator="equal">
      <formula>"N"</formula>
    </cfRule>
    <cfRule type="cellIs" dxfId="58" priority="63" operator="equal">
      <formula>"Yes"</formula>
    </cfRule>
  </conditionalFormatting>
  <conditionalFormatting sqref="F39:O46">
    <cfRule type="cellIs" dxfId="57" priority="59" operator="equal">
      <formula>"Not Operational"</formula>
    </cfRule>
    <cfRule type="cellIs" dxfId="56" priority="58" operator="equal">
      <formula>"Yes"</formula>
    </cfRule>
    <cfRule type="cellIs" dxfId="55" priority="57" operator="equal">
      <formula>"Not Relevant"</formula>
    </cfRule>
    <cfRule type="cellIs" dxfId="54" priority="56" operator="equal">
      <formula>"N"</formula>
    </cfRule>
    <cfRule type="cellIs" dxfId="53" priority="55" operator="equal">
      <formula>"No"</formula>
    </cfRule>
  </conditionalFormatting>
  <conditionalFormatting sqref="F48:O54">
    <cfRule type="cellIs" dxfId="52" priority="54" operator="equal">
      <formula>"Not Operational"</formula>
    </cfRule>
    <cfRule type="cellIs" dxfId="51" priority="53" operator="equal">
      <formula>"Yes"</formula>
    </cfRule>
    <cfRule type="cellIs" dxfId="50" priority="52" operator="equal">
      <formula>"Not Relevant"</formula>
    </cfRule>
    <cfRule type="cellIs" dxfId="49" priority="51" operator="equal">
      <formula>"N"</formula>
    </cfRule>
    <cfRule type="cellIs" dxfId="48" priority="50" operator="equal">
      <formula>"No"</formula>
    </cfRule>
  </conditionalFormatting>
  <conditionalFormatting sqref="F56:O73">
    <cfRule type="cellIs" dxfId="47" priority="48" operator="equal">
      <formula>"Yes"</formula>
    </cfRule>
    <cfRule type="cellIs" dxfId="46" priority="49" operator="equal">
      <formula>"Not Operational"</formula>
    </cfRule>
    <cfRule type="cellIs" dxfId="45" priority="45" operator="equal">
      <formula>"No"</formula>
    </cfRule>
    <cfRule type="cellIs" dxfId="44" priority="46" operator="equal">
      <formula>"N"</formula>
    </cfRule>
    <cfRule type="cellIs" dxfId="43" priority="47" operator="equal">
      <formula>"Not Relevant"</formula>
    </cfRule>
  </conditionalFormatting>
  <conditionalFormatting sqref="F76:O84">
    <cfRule type="cellIs" dxfId="42" priority="41" operator="equal">
      <formula>"N"</formula>
    </cfRule>
    <cfRule type="cellIs" dxfId="41" priority="40" operator="equal">
      <formula>"No"</formula>
    </cfRule>
    <cfRule type="cellIs" dxfId="40" priority="44" operator="equal">
      <formula>"Not Operational"</formula>
    </cfRule>
    <cfRule type="cellIs" dxfId="39" priority="43" operator="equal">
      <formula>"Yes"</formula>
    </cfRule>
    <cfRule type="cellIs" dxfId="38" priority="42" operator="equal">
      <formula>"Not Relevant"</formula>
    </cfRule>
  </conditionalFormatting>
  <conditionalFormatting sqref="F86:O94">
    <cfRule type="cellIs" dxfId="37" priority="39" operator="equal">
      <formula>"Not Operational"</formula>
    </cfRule>
    <cfRule type="cellIs" dxfId="36" priority="38" operator="equal">
      <formula>"Yes"</formula>
    </cfRule>
    <cfRule type="cellIs" dxfId="35" priority="37" operator="equal">
      <formula>"Not Relevant"</formula>
    </cfRule>
    <cfRule type="cellIs" dxfId="34" priority="36" operator="equal">
      <formula>"N"</formula>
    </cfRule>
    <cfRule type="cellIs" dxfId="33" priority="35" operator="equal">
      <formula>"No"</formula>
    </cfRule>
  </conditionalFormatting>
  <conditionalFormatting sqref="F96:O97">
    <cfRule type="cellIs" dxfId="32" priority="34" operator="equal">
      <formula>"Not Operational"</formula>
    </cfRule>
    <cfRule type="cellIs" dxfId="31" priority="33" operator="equal">
      <formula>"Yes"</formula>
    </cfRule>
    <cfRule type="cellIs" dxfId="30" priority="32" operator="equal">
      <formula>"Not Relevant"</formula>
    </cfRule>
    <cfRule type="cellIs" dxfId="29" priority="31" operator="equal">
      <formula>"N"</formula>
    </cfRule>
    <cfRule type="cellIs" dxfId="28" priority="30" operator="equal">
      <formula>"No"</formula>
    </cfRule>
  </conditionalFormatting>
  <conditionalFormatting sqref="F106:O109">
    <cfRule type="cellIs" dxfId="27" priority="9" operator="equal">
      <formula>"No"</formula>
    </cfRule>
    <cfRule type="cellIs" dxfId="26" priority="13" operator="equal">
      <formula>"Not Operational"</formula>
    </cfRule>
    <cfRule type="cellIs" dxfId="25" priority="12" operator="equal">
      <formula>"Yes"</formula>
    </cfRule>
    <cfRule type="cellIs" dxfId="24" priority="11" operator="equal">
      <formula>"Not Relevant"</formula>
    </cfRule>
    <cfRule type="cellIs" dxfId="23" priority="10" operator="equal">
      <formula>"N"</formula>
    </cfRule>
  </conditionalFormatting>
  <conditionalFormatting sqref="F106:O113">
    <cfRule type="cellIs" dxfId="22" priority="3" operator="equal">
      <formula>"Y"</formula>
    </cfRule>
  </conditionalFormatting>
  <conditionalFormatting sqref="F111:O113">
    <cfRule type="cellIs" dxfId="21" priority="8" operator="equal">
      <formula>"Not Operational"</formula>
    </cfRule>
    <cfRule type="cellIs" dxfId="20" priority="7" operator="equal">
      <formula>"Yes"</formula>
    </cfRule>
    <cfRule type="cellIs" dxfId="19" priority="6" operator="equal">
      <formula>"Not Relevant"</formula>
    </cfRule>
    <cfRule type="cellIs" dxfId="18" priority="5" operator="equal">
      <formula>"N"</formula>
    </cfRule>
    <cfRule type="cellIs" dxfId="17" priority="4" operator="equal">
      <formula>"No"</formula>
    </cfRule>
  </conditionalFormatting>
  <conditionalFormatting sqref="M114:P114 M116:P118">
    <cfRule type="cellIs" dxfId="16" priority="14" operator="equal">
      <formula>"The company meets all criteria for this metric"</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D227D-90BE-4C82-BE6A-81FBE5AAF81F}">
  <sheetPr>
    <tabColor rgb="FF00B0F0"/>
  </sheetPr>
  <dimension ref="A1:O83"/>
  <sheetViews>
    <sheetView zoomScale="85" zoomScaleNormal="85" workbookViewId="0">
      <pane xSplit="4" ySplit="2" topLeftCell="E3" activePane="bottomRight" state="frozen"/>
      <selection pane="topRight" activeCell="E1" sqref="E1"/>
      <selection pane="bottomLeft" activeCell="A3" sqref="A3"/>
      <selection pane="bottomRight" activeCell="J44" sqref="J44"/>
    </sheetView>
  </sheetViews>
  <sheetFormatPr defaultColWidth="0" defaultRowHeight="15" customHeight="1" zeroHeight="1"/>
  <cols>
    <col min="1" max="1" width="5.453125" style="167" customWidth="1"/>
    <col min="2" max="2" width="31.1796875" style="11" customWidth="1"/>
    <col min="3" max="3" width="17.453125" style="11" customWidth="1"/>
    <col min="4" max="4" width="33.453125" style="11" customWidth="1"/>
    <col min="5" max="14" width="13.1796875" style="11" customWidth="1"/>
    <col min="15" max="15" width="9.1796875" style="154" customWidth="1"/>
    <col min="16" max="16384" width="9.1796875" style="11" hidden="1"/>
  </cols>
  <sheetData>
    <row r="1" spans="1:15" s="8" customFormat="1" ht="71.150000000000006" customHeight="1" thickBot="1">
      <c r="A1" s="199"/>
      <c r="K1" s="389" t="s">
        <v>619</v>
      </c>
      <c r="L1" s="389"/>
      <c r="M1" s="389"/>
      <c r="N1" s="389"/>
    </row>
    <row r="2" spans="1:15" ht="103" customHeight="1">
      <c r="A2" s="155"/>
      <c r="B2" s="394" t="s">
        <v>620</v>
      </c>
      <c r="C2" s="395"/>
      <c r="D2" s="396"/>
      <c r="E2" s="261" t="s">
        <v>47</v>
      </c>
      <c r="F2" s="261" t="s">
        <v>49</v>
      </c>
      <c r="G2" s="261" t="s">
        <v>51</v>
      </c>
      <c r="H2" s="261" t="s">
        <v>52</v>
      </c>
      <c r="I2" s="261" t="s">
        <v>53</v>
      </c>
      <c r="J2" s="261" t="s">
        <v>54</v>
      </c>
      <c r="K2" s="261" t="s">
        <v>55</v>
      </c>
      <c r="L2" s="261" t="s">
        <v>56</v>
      </c>
      <c r="M2" s="261" t="s">
        <v>57</v>
      </c>
      <c r="N2" s="261" t="s">
        <v>58</v>
      </c>
      <c r="O2" s="192"/>
    </row>
    <row r="3" spans="1:15" ht="14.5" thickBot="1">
      <c r="A3" s="193"/>
      <c r="B3" s="154"/>
      <c r="C3" s="154"/>
      <c r="D3" s="154"/>
      <c r="E3" s="154"/>
      <c r="F3" s="154"/>
      <c r="G3" s="154"/>
      <c r="H3" s="154"/>
      <c r="I3" s="154"/>
      <c r="J3" s="154"/>
      <c r="K3" s="154"/>
      <c r="L3" s="154"/>
      <c r="M3" s="154"/>
      <c r="N3" s="156"/>
    </row>
    <row r="4" spans="1:15" ht="14.5" thickBot="1">
      <c r="A4" s="193"/>
      <c r="B4" s="254" t="s">
        <v>518</v>
      </c>
      <c r="C4" s="255"/>
      <c r="D4" s="255"/>
      <c r="E4" s="256">
        <f>COUNTIF(E6:E79,"Y")</f>
        <v>48</v>
      </c>
      <c r="F4" s="256">
        <f t="shared" ref="F4:N4" si="0">COUNTIF(F6:F79,"Y")</f>
        <v>15</v>
      </c>
      <c r="G4" s="256">
        <f t="shared" si="0"/>
        <v>12</v>
      </c>
      <c r="H4" s="256">
        <f t="shared" si="0"/>
        <v>46</v>
      </c>
      <c r="I4" s="256">
        <f t="shared" si="0"/>
        <v>19</v>
      </c>
      <c r="J4" s="256">
        <f t="shared" si="0"/>
        <v>23</v>
      </c>
      <c r="K4" s="256">
        <f t="shared" si="0"/>
        <v>32</v>
      </c>
      <c r="L4" s="256">
        <f t="shared" si="0"/>
        <v>34</v>
      </c>
      <c r="M4" s="256">
        <f t="shared" si="0"/>
        <v>9</v>
      </c>
      <c r="N4" s="257">
        <f t="shared" si="0"/>
        <v>46</v>
      </c>
    </row>
    <row r="5" spans="1:15" ht="14">
      <c r="A5" s="193"/>
      <c r="B5" s="154"/>
      <c r="C5" s="154"/>
      <c r="D5" s="154"/>
      <c r="E5" s="154"/>
      <c r="F5" s="154"/>
      <c r="G5" s="154"/>
      <c r="H5" s="154"/>
      <c r="I5" s="154"/>
      <c r="J5" s="154"/>
      <c r="K5" s="154"/>
      <c r="L5" s="154"/>
      <c r="M5" s="154"/>
      <c r="N5" s="156"/>
    </row>
    <row r="6" spans="1:15" ht="28.5" customHeight="1">
      <c r="A6" s="194">
        <v>1</v>
      </c>
      <c r="B6" s="390" t="s">
        <v>621</v>
      </c>
      <c r="C6" s="195" t="s">
        <v>622</v>
      </c>
      <c r="D6" s="196"/>
      <c r="E6" s="158" t="s">
        <v>67</v>
      </c>
      <c r="F6" s="159" t="s">
        <v>69</v>
      </c>
      <c r="G6" s="159" t="s">
        <v>64</v>
      </c>
      <c r="H6" s="159" t="s">
        <v>67</v>
      </c>
      <c r="I6" s="159" t="s">
        <v>64</v>
      </c>
      <c r="J6" s="159" t="s">
        <v>67</v>
      </c>
      <c r="K6" s="159" t="s">
        <v>64</v>
      </c>
      <c r="L6" s="159" t="s">
        <v>67</v>
      </c>
      <c r="M6" s="159" t="s">
        <v>64</v>
      </c>
      <c r="N6" s="159" t="s">
        <v>67</v>
      </c>
    </row>
    <row r="7" spans="1:15" ht="17.5" customHeight="1">
      <c r="A7" s="194">
        <v>1.1000000000000001</v>
      </c>
      <c r="B7" s="390"/>
      <c r="C7" s="197" t="s">
        <v>65</v>
      </c>
      <c r="D7" s="197"/>
      <c r="E7" s="158" t="s">
        <v>67</v>
      </c>
      <c r="F7" s="159" t="s">
        <v>69</v>
      </c>
      <c r="G7" s="159" t="s">
        <v>64</v>
      </c>
      <c r="H7" s="159" t="s">
        <v>67</v>
      </c>
      <c r="I7" s="159" t="s">
        <v>64</v>
      </c>
      <c r="J7" s="159" t="s">
        <v>67</v>
      </c>
      <c r="K7" s="159" t="s">
        <v>64</v>
      </c>
      <c r="L7" s="159" t="s">
        <v>67</v>
      </c>
      <c r="M7" s="159" t="s">
        <v>64</v>
      </c>
      <c r="N7" s="159" t="s">
        <v>67</v>
      </c>
    </row>
    <row r="8" spans="1:15" ht="17.5" customHeight="1">
      <c r="A8" s="194" t="str">
        <f t="shared" ref="A8" si="1">LEFT(C8,FIND(":",C8)-1)</f>
        <v>1.1.a</v>
      </c>
      <c r="B8" s="390"/>
      <c r="C8" s="197" t="s">
        <v>66</v>
      </c>
      <c r="D8" s="197"/>
      <c r="E8" s="158" t="s">
        <v>67</v>
      </c>
      <c r="F8" s="159" t="s">
        <v>69</v>
      </c>
      <c r="G8" s="159" t="s">
        <v>67</v>
      </c>
      <c r="H8" s="159" t="s">
        <v>67</v>
      </c>
      <c r="I8" s="159" t="s">
        <v>67</v>
      </c>
      <c r="J8" s="159" t="s">
        <v>67</v>
      </c>
      <c r="K8" s="159" t="s">
        <v>67</v>
      </c>
      <c r="L8" s="159" t="s">
        <v>67</v>
      </c>
      <c r="M8" s="159" t="s">
        <v>67</v>
      </c>
      <c r="N8" s="159" t="s">
        <v>67</v>
      </c>
    </row>
    <row r="9" spans="1:15" ht="17.5" customHeight="1">
      <c r="A9" s="194" t="str">
        <f>LEFT(C9,FIND(":",C9)-1)</f>
        <v>1.1.b</v>
      </c>
      <c r="B9" s="390"/>
      <c r="C9" s="197" t="s">
        <v>623</v>
      </c>
      <c r="D9" s="197"/>
      <c r="E9" s="161" t="s">
        <v>67</v>
      </c>
      <c r="F9" s="162" t="s">
        <v>69</v>
      </c>
      <c r="G9" s="162" t="s">
        <v>69</v>
      </c>
      <c r="H9" s="162" t="s">
        <v>67</v>
      </c>
      <c r="I9" s="162" t="s">
        <v>69</v>
      </c>
      <c r="J9" s="162" t="s">
        <v>67</v>
      </c>
      <c r="K9" s="162" t="s">
        <v>69</v>
      </c>
      <c r="L9" s="162" t="s">
        <v>67</v>
      </c>
      <c r="M9" s="162" t="s">
        <v>69</v>
      </c>
      <c r="N9" s="162" t="s">
        <v>67</v>
      </c>
    </row>
    <row r="10" spans="1:15" ht="31.5" customHeight="1">
      <c r="A10" s="157">
        <v>2</v>
      </c>
      <c r="B10" s="391" t="s">
        <v>624</v>
      </c>
      <c r="C10" s="195" t="s">
        <v>625</v>
      </c>
      <c r="D10" s="196"/>
      <c r="E10" s="163" t="s">
        <v>67</v>
      </c>
      <c r="F10" s="164" t="s">
        <v>64</v>
      </c>
      <c r="G10" s="164" t="s">
        <v>64</v>
      </c>
      <c r="H10" s="164" t="s">
        <v>67</v>
      </c>
      <c r="I10" s="164" t="s">
        <v>64</v>
      </c>
      <c r="J10" s="164" t="s">
        <v>67</v>
      </c>
      <c r="K10" s="164" t="s">
        <v>64</v>
      </c>
      <c r="L10" s="164" t="s">
        <v>64</v>
      </c>
      <c r="M10" s="164" t="s">
        <v>64</v>
      </c>
      <c r="N10" s="164" t="s">
        <v>64</v>
      </c>
    </row>
    <row r="11" spans="1:15" ht="14.15" customHeight="1">
      <c r="A11" s="157">
        <v>2.1</v>
      </c>
      <c r="B11" s="392"/>
      <c r="C11" s="197" t="s">
        <v>626</v>
      </c>
      <c r="D11" s="197"/>
      <c r="E11" s="165" t="s">
        <v>67</v>
      </c>
      <c r="F11" s="166" t="s">
        <v>67</v>
      </c>
      <c r="G11" s="166" t="s">
        <v>67</v>
      </c>
      <c r="H11" s="166" t="s">
        <v>67</v>
      </c>
      <c r="I11" s="166" t="s">
        <v>67</v>
      </c>
      <c r="J11" s="166" t="s">
        <v>67</v>
      </c>
      <c r="K11" s="166" t="s">
        <v>67</v>
      </c>
      <c r="L11" s="166" t="s">
        <v>67</v>
      </c>
      <c r="M11" s="166" t="s">
        <v>67</v>
      </c>
      <c r="N11" s="166" t="s">
        <v>67</v>
      </c>
    </row>
    <row r="12" spans="1:15" ht="14.15" customHeight="1">
      <c r="A12" s="157">
        <v>2.2000000000000002</v>
      </c>
      <c r="B12" s="392"/>
      <c r="C12" s="197" t="s">
        <v>627</v>
      </c>
      <c r="D12" s="197"/>
      <c r="E12" s="163" t="s">
        <v>67</v>
      </c>
      <c r="F12" s="164" t="s">
        <v>69</v>
      </c>
      <c r="G12" s="164" t="s">
        <v>64</v>
      </c>
      <c r="H12" s="164" t="s">
        <v>67</v>
      </c>
      <c r="I12" s="164" t="s">
        <v>64</v>
      </c>
      <c r="J12" s="164" t="s">
        <v>67</v>
      </c>
      <c r="K12" s="164" t="s">
        <v>64</v>
      </c>
      <c r="L12" s="164" t="s">
        <v>67</v>
      </c>
      <c r="M12" s="164" t="s">
        <v>64</v>
      </c>
      <c r="N12" s="164" t="s">
        <v>67</v>
      </c>
    </row>
    <row r="13" spans="1:15" ht="14.15" customHeight="1">
      <c r="A13" s="157" t="s">
        <v>270</v>
      </c>
      <c r="B13" s="392"/>
      <c r="C13" s="197" t="s">
        <v>628</v>
      </c>
      <c r="D13" s="197"/>
      <c r="E13" s="163" t="s">
        <v>67</v>
      </c>
      <c r="F13" s="164" t="s">
        <v>69</v>
      </c>
      <c r="G13" s="164" t="s">
        <v>67</v>
      </c>
      <c r="H13" s="164" t="s">
        <v>67</v>
      </c>
      <c r="I13" s="164" t="s">
        <v>67</v>
      </c>
      <c r="J13" s="164" t="s">
        <v>67</v>
      </c>
      <c r="K13" s="164" t="s">
        <v>67</v>
      </c>
      <c r="L13" s="164" t="s">
        <v>67</v>
      </c>
      <c r="M13" s="164" t="s">
        <v>67</v>
      </c>
      <c r="N13" s="164" t="s">
        <v>67</v>
      </c>
    </row>
    <row r="14" spans="1:15" ht="14.15" customHeight="1">
      <c r="A14" s="157" t="str">
        <f t="shared" ref="A14:A71" si="2">LEFT(C14,FIND(":",C14)-1)</f>
        <v>2.2.b</v>
      </c>
      <c r="B14" s="392"/>
      <c r="C14" s="197" t="s">
        <v>629</v>
      </c>
      <c r="D14" s="197"/>
      <c r="E14" s="163" t="s">
        <v>67</v>
      </c>
      <c r="F14" s="164" t="s">
        <v>69</v>
      </c>
      <c r="G14" s="164" t="s">
        <v>69</v>
      </c>
      <c r="H14" s="164" t="s">
        <v>67</v>
      </c>
      <c r="I14" s="164" t="s">
        <v>69</v>
      </c>
      <c r="J14" s="164" t="s">
        <v>67</v>
      </c>
      <c r="K14" s="164" t="s">
        <v>69</v>
      </c>
      <c r="L14" s="164" t="s">
        <v>67</v>
      </c>
      <c r="M14" s="164" t="s">
        <v>69</v>
      </c>
      <c r="N14" s="164" t="s">
        <v>67</v>
      </c>
    </row>
    <row r="15" spans="1:15" ht="14.15" customHeight="1">
      <c r="A15" s="157">
        <v>2.2999999999999998</v>
      </c>
      <c r="B15" s="393"/>
      <c r="C15" s="160" t="s">
        <v>630</v>
      </c>
      <c r="D15" s="160"/>
      <c r="E15" s="163" t="s">
        <v>67</v>
      </c>
      <c r="F15" s="164" t="s">
        <v>69</v>
      </c>
      <c r="G15" s="164" t="s">
        <v>69</v>
      </c>
      <c r="H15" s="164" t="s">
        <v>67</v>
      </c>
      <c r="I15" s="164" t="s">
        <v>69</v>
      </c>
      <c r="J15" s="164" t="s">
        <v>67</v>
      </c>
      <c r="K15" s="164" t="s">
        <v>69</v>
      </c>
      <c r="L15" s="164" t="s">
        <v>69</v>
      </c>
      <c r="M15" s="164" t="s">
        <v>69</v>
      </c>
      <c r="N15" s="164" t="s">
        <v>69</v>
      </c>
    </row>
    <row r="16" spans="1:15" ht="31.5" customHeight="1">
      <c r="A16" s="157">
        <v>3</v>
      </c>
      <c r="B16" s="397" t="s">
        <v>631</v>
      </c>
      <c r="C16" s="195" t="s">
        <v>632</v>
      </c>
      <c r="D16" s="196"/>
      <c r="E16" s="163" t="s">
        <v>64</v>
      </c>
      <c r="F16" s="164" t="s">
        <v>64</v>
      </c>
      <c r="G16" s="164" t="s">
        <v>64</v>
      </c>
      <c r="H16" s="164" t="s">
        <v>64</v>
      </c>
      <c r="I16" s="164" t="s">
        <v>69</v>
      </c>
      <c r="J16" s="164" t="s">
        <v>69</v>
      </c>
      <c r="K16" s="164" t="s">
        <v>64</v>
      </c>
      <c r="L16" s="164" t="s">
        <v>64</v>
      </c>
      <c r="M16" s="164" t="s">
        <v>69</v>
      </c>
      <c r="N16" s="164" t="s">
        <v>64</v>
      </c>
    </row>
    <row r="17" spans="1:14" ht="14.15" customHeight="1">
      <c r="A17" s="157">
        <v>3.1</v>
      </c>
      <c r="B17" s="398"/>
      <c r="C17" s="197" t="s">
        <v>633</v>
      </c>
      <c r="D17" s="197"/>
      <c r="E17" s="165" t="s">
        <v>67</v>
      </c>
      <c r="F17" s="166" t="s">
        <v>67</v>
      </c>
      <c r="G17" s="166" t="s">
        <v>67</v>
      </c>
      <c r="H17" s="166" t="s">
        <v>67</v>
      </c>
      <c r="I17" s="166" t="s">
        <v>69</v>
      </c>
      <c r="J17" s="166" t="s">
        <v>69</v>
      </c>
      <c r="K17" s="166" t="s">
        <v>67</v>
      </c>
      <c r="L17" s="166" t="s">
        <v>67</v>
      </c>
      <c r="M17" s="166" t="s">
        <v>69</v>
      </c>
      <c r="N17" s="166" t="s">
        <v>67</v>
      </c>
    </row>
    <row r="18" spans="1:14" ht="14.15" customHeight="1">
      <c r="A18" s="157">
        <v>3.2</v>
      </c>
      <c r="B18" s="398"/>
      <c r="C18" s="197" t="s">
        <v>634</v>
      </c>
      <c r="D18" s="197"/>
      <c r="E18" s="163" t="s">
        <v>67</v>
      </c>
      <c r="F18" s="164" t="s">
        <v>67</v>
      </c>
      <c r="G18" s="164" t="s">
        <v>64</v>
      </c>
      <c r="H18" s="164" t="s">
        <v>67</v>
      </c>
      <c r="I18" s="164" t="s">
        <v>69</v>
      </c>
      <c r="J18" s="164" t="s">
        <v>69</v>
      </c>
      <c r="K18" s="164" t="s">
        <v>64</v>
      </c>
      <c r="L18" s="164" t="s">
        <v>67</v>
      </c>
      <c r="M18" s="164" t="s">
        <v>69</v>
      </c>
      <c r="N18" s="164" t="s">
        <v>67</v>
      </c>
    </row>
    <row r="19" spans="1:14" ht="14.15" customHeight="1">
      <c r="A19" s="157" t="str">
        <f t="shared" si="2"/>
        <v>3.2.a</v>
      </c>
      <c r="B19" s="398"/>
      <c r="C19" s="197" t="s">
        <v>635</v>
      </c>
      <c r="D19" s="197"/>
      <c r="E19" s="163" t="s">
        <v>67</v>
      </c>
      <c r="F19" s="164" t="s">
        <v>67</v>
      </c>
      <c r="G19" s="164" t="s">
        <v>67</v>
      </c>
      <c r="H19" s="164" t="s">
        <v>67</v>
      </c>
      <c r="I19" s="164" t="s">
        <v>69</v>
      </c>
      <c r="J19" s="164" t="s">
        <v>69</v>
      </c>
      <c r="K19" s="164" t="s">
        <v>67</v>
      </c>
      <c r="L19" s="164" t="s">
        <v>67</v>
      </c>
      <c r="M19" s="164" t="s">
        <v>69</v>
      </c>
      <c r="N19" s="164" t="s">
        <v>67</v>
      </c>
    </row>
    <row r="20" spans="1:14" ht="14.15" customHeight="1">
      <c r="A20" s="157" t="str">
        <f t="shared" si="2"/>
        <v>3.2.b</v>
      </c>
      <c r="B20" s="398"/>
      <c r="C20" s="197" t="s">
        <v>405</v>
      </c>
      <c r="D20" s="197"/>
      <c r="E20" s="163" t="s">
        <v>67</v>
      </c>
      <c r="F20" s="164" t="s">
        <v>67</v>
      </c>
      <c r="G20" s="164" t="s">
        <v>69</v>
      </c>
      <c r="H20" s="164" t="s">
        <v>67</v>
      </c>
      <c r="I20" s="164" t="s">
        <v>69</v>
      </c>
      <c r="J20" s="164" t="s">
        <v>69</v>
      </c>
      <c r="K20" s="164" t="s">
        <v>69</v>
      </c>
      <c r="L20" s="164" t="s">
        <v>67</v>
      </c>
      <c r="M20" s="164" t="s">
        <v>69</v>
      </c>
      <c r="N20" s="164" t="s">
        <v>67</v>
      </c>
    </row>
    <row r="21" spans="1:14" ht="14.5" customHeight="1">
      <c r="A21" s="157">
        <v>3.3</v>
      </c>
      <c r="B21" s="398"/>
      <c r="C21" s="197" t="s">
        <v>636</v>
      </c>
      <c r="D21" s="197" t="s">
        <v>637</v>
      </c>
      <c r="E21" s="163" t="s">
        <v>69</v>
      </c>
      <c r="F21" s="164" t="s">
        <v>69</v>
      </c>
      <c r="G21" s="164" t="s">
        <v>69</v>
      </c>
      <c r="H21" s="164" t="s">
        <v>69</v>
      </c>
      <c r="I21" s="164" t="s">
        <v>69</v>
      </c>
      <c r="J21" s="164" t="s">
        <v>69</v>
      </c>
      <c r="K21" s="164" t="s">
        <v>69</v>
      </c>
      <c r="L21" s="164" t="s">
        <v>69</v>
      </c>
      <c r="M21" s="164" t="s">
        <v>69</v>
      </c>
      <c r="N21" s="164" t="s">
        <v>69</v>
      </c>
    </row>
    <row r="22" spans="1:14" ht="14">
      <c r="A22" s="157">
        <v>3.4</v>
      </c>
      <c r="B22" s="399"/>
      <c r="C22" s="197" t="s">
        <v>638</v>
      </c>
      <c r="D22" s="197"/>
      <c r="E22" s="165" t="s">
        <v>92</v>
      </c>
      <c r="F22" s="166" t="s">
        <v>92</v>
      </c>
      <c r="G22" s="166" t="s">
        <v>92</v>
      </c>
      <c r="H22" s="166" t="s">
        <v>92</v>
      </c>
      <c r="I22" s="166" t="s">
        <v>92</v>
      </c>
      <c r="J22" s="166" t="s">
        <v>92</v>
      </c>
      <c r="K22" s="166" t="s">
        <v>92</v>
      </c>
      <c r="L22" s="166" t="s">
        <v>92</v>
      </c>
      <c r="M22" s="166" t="s">
        <v>92</v>
      </c>
      <c r="N22" s="166" t="s">
        <v>92</v>
      </c>
    </row>
    <row r="23" spans="1:14" ht="31.5" customHeight="1">
      <c r="A23" s="157">
        <v>4</v>
      </c>
      <c r="B23" s="397" t="s">
        <v>639</v>
      </c>
      <c r="C23" s="195" t="s">
        <v>640</v>
      </c>
      <c r="D23" s="196"/>
      <c r="E23" s="163" t="s">
        <v>64</v>
      </c>
      <c r="F23" s="164" t="s">
        <v>64</v>
      </c>
      <c r="G23" s="164" t="s">
        <v>69</v>
      </c>
      <c r="H23" s="164" t="s">
        <v>64</v>
      </c>
      <c r="I23" s="164" t="s">
        <v>64</v>
      </c>
      <c r="J23" s="164" t="s">
        <v>64</v>
      </c>
      <c r="K23" s="164" t="s">
        <v>64</v>
      </c>
      <c r="L23" s="164" t="s">
        <v>64</v>
      </c>
      <c r="M23" s="164" t="s">
        <v>69</v>
      </c>
      <c r="N23" s="164" t="s">
        <v>64</v>
      </c>
    </row>
    <row r="24" spans="1:14" ht="14">
      <c r="A24" s="157">
        <v>4.0999999999999996</v>
      </c>
      <c r="B24" s="398"/>
      <c r="C24" s="197" t="s">
        <v>641</v>
      </c>
      <c r="D24" s="197"/>
      <c r="E24" s="165" t="s">
        <v>67</v>
      </c>
      <c r="F24" s="166" t="s">
        <v>67</v>
      </c>
      <c r="G24" s="166" t="s">
        <v>69</v>
      </c>
      <c r="H24" s="166" t="s">
        <v>67</v>
      </c>
      <c r="I24" s="166" t="s">
        <v>67</v>
      </c>
      <c r="J24" s="166" t="s">
        <v>67</v>
      </c>
      <c r="K24" s="166" t="s">
        <v>67</v>
      </c>
      <c r="L24" s="166" t="s">
        <v>67</v>
      </c>
      <c r="M24" s="166" t="s">
        <v>69</v>
      </c>
      <c r="N24" s="166" t="s">
        <v>67</v>
      </c>
    </row>
    <row r="25" spans="1:14" ht="14">
      <c r="A25" s="157">
        <v>4.2</v>
      </c>
      <c r="B25" s="398"/>
      <c r="C25" s="197" t="s">
        <v>642</v>
      </c>
      <c r="D25" s="197"/>
      <c r="E25" s="163" t="s">
        <v>67</v>
      </c>
      <c r="F25" s="164" t="s">
        <v>69</v>
      </c>
      <c r="G25" s="164" t="s">
        <v>69</v>
      </c>
      <c r="H25" s="164" t="s">
        <v>64</v>
      </c>
      <c r="I25" s="164" t="s">
        <v>69</v>
      </c>
      <c r="J25" s="164" t="s">
        <v>64</v>
      </c>
      <c r="K25" s="164" t="s">
        <v>64</v>
      </c>
      <c r="L25" s="164" t="s">
        <v>67</v>
      </c>
      <c r="M25" s="164" t="s">
        <v>69</v>
      </c>
      <c r="N25" s="164" t="s">
        <v>67</v>
      </c>
    </row>
    <row r="26" spans="1:14" ht="14">
      <c r="A26" s="157" t="str">
        <f t="shared" si="2"/>
        <v>4.2.a</v>
      </c>
      <c r="B26" s="398"/>
      <c r="C26" s="197" t="s">
        <v>643</v>
      </c>
      <c r="D26" s="197"/>
      <c r="E26" s="163" t="s">
        <v>67</v>
      </c>
      <c r="F26" s="164" t="s">
        <v>69</v>
      </c>
      <c r="G26" s="164" t="s">
        <v>69</v>
      </c>
      <c r="H26" s="164" t="s">
        <v>67</v>
      </c>
      <c r="I26" s="164" t="s">
        <v>69</v>
      </c>
      <c r="J26" s="164" t="s">
        <v>67</v>
      </c>
      <c r="K26" s="164" t="s">
        <v>67</v>
      </c>
      <c r="L26" s="164" t="s">
        <v>67</v>
      </c>
      <c r="M26" s="164" t="s">
        <v>69</v>
      </c>
      <c r="N26" s="164" t="s">
        <v>67</v>
      </c>
    </row>
    <row r="27" spans="1:14" ht="14">
      <c r="A27" s="157" t="str">
        <f t="shared" si="2"/>
        <v>4.2.b</v>
      </c>
      <c r="B27" s="398"/>
      <c r="C27" s="197" t="s">
        <v>644</v>
      </c>
      <c r="D27" s="197"/>
      <c r="E27" s="163" t="s">
        <v>67</v>
      </c>
      <c r="F27" s="164" t="s">
        <v>69</v>
      </c>
      <c r="G27" s="164" t="s">
        <v>69</v>
      </c>
      <c r="H27" s="164" t="s">
        <v>69</v>
      </c>
      <c r="I27" s="164" t="s">
        <v>69</v>
      </c>
      <c r="J27" s="164" t="s">
        <v>69</v>
      </c>
      <c r="K27" s="164" t="s">
        <v>69</v>
      </c>
      <c r="L27" s="164" t="s">
        <v>67</v>
      </c>
      <c r="M27" s="164" t="s">
        <v>69</v>
      </c>
      <c r="N27" s="164" t="s">
        <v>67</v>
      </c>
    </row>
    <row r="28" spans="1:14" ht="14">
      <c r="A28" s="157">
        <v>4.3</v>
      </c>
      <c r="B28" s="398"/>
      <c r="C28" s="197" t="s">
        <v>645</v>
      </c>
      <c r="D28" s="197"/>
      <c r="E28" s="163" t="s">
        <v>69</v>
      </c>
      <c r="F28" s="164" t="s">
        <v>69</v>
      </c>
      <c r="G28" s="164" t="s">
        <v>69</v>
      </c>
      <c r="H28" s="164" t="s">
        <v>69</v>
      </c>
      <c r="I28" s="164" t="s">
        <v>69</v>
      </c>
      <c r="J28" s="164" t="s">
        <v>69</v>
      </c>
      <c r="K28" s="164" t="s">
        <v>69</v>
      </c>
      <c r="L28" s="164" t="s">
        <v>69</v>
      </c>
      <c r="M28" s="164" t="s">
        <v>69</v>
      </c>
      <c r="N28" s="164" t="s">
        <v>69</v>
      </c>
    </row>
    <row r="29" spans="1:14" ht="21" customHeight="1">
      <c r="A29" s="157">
        <v>5</v>
      </c>
      <c r="B29" s="397" t="s">
        <v>100</v>
      </c>
      <c r="C29" s="195" t="s">
        <v>646</v>
      </c>
      <c r="D29" s="196"/>
      <c r="E29" s="163" t="s">
        <v>64</v>
      </c>
      <c r="F29" s="164" t="s">
        <v>64</v>
      </c>
      <c r="G29" s="164" t="s">
        <v>69</v>
      </c>
      <c r="H29" s="164" t="s">
        <v>64</v>
      </c>
      <c r="I29" s="164" t="s">
        <v>69</v>
      </c>
      <c r="J29" s="164" t="s">
        <v>69</v>
      </c>
      <c r="K29" s="164" t="s">
        <v>64</v>
      </c>
      <c r="L29" s="164" t="s">
        <v>64</v>
      </c>
      <c r="M29" s="164" t="s">
        <v>69</v>
      </c>
      <c r="N29" s="164" t="s">
        <v>64</v>
      </c>
    </row>
    <row r="30" spans="1:14" ht="14.15" customHeight="1">
      <c r="A30" s="157">
        <v>5.0999999999999996</v>
      </c>
      <c r="B30" s="398"/>
      <c r="C30" s="197" t="s">
        <v>647</v>
      </c>
      <c r="D30" s="197"/>
      <c r="E30" s="165" t="s">
        <v>64</v>
      </c>
      <c r="F30" s="166" t="s">
        <v>64</v>
      </c>
      <c r="G30" s="166" t="s">
        <v>69</v>
      </c>
      <c r="H30" s="166" t="s">
        <v>67</v>
      </c>
      <c r="I30" s="166" t="s">
        <v>69</v>
      </c>
      <c r="J30" s="166" t="s">
        <v>69</v>
      </c>
      <c r="K30" s="166" t="s">
        <v>64</v>
      </c>
      <c r="L30" s="166" t="s">
        <v>64</v>
      </c>
      <c r="M30" s="166" t="s">
        <v>69</v>
      </c>
      <c r="N30" s="166" t="s">
        <v>64</v>
      </c>
    </row>
    <row r="31" spans="1:14" ht="14.15" customHeight="1">
      <c r="A31" s="157" t="str">
        <f t="shared" si="2"/>
        <v>5.1.a</v>
      </c>
      <c r="B31" s="398"/>
      <c r="C31" s="197" t="s">
        <v>413</v>
      </c>
      <c r="D31" s="197"/>
      <c r="E31" s="165" t="s">
        <v>67</v>
      </c>
      <c r="F31" s="166" t="s">
        <v>67</v>
      </c>
      <c r="G31" s="166" t="s">
        <v>69</v>
      </c>
      <c r="H31" s="166" t="s">
        <v>67</v>
      </c>
      <c r="I31" s="166" t="s">
        <v>69</v>
      </c>
      <c r="J31" s="166" t="s">
        <v>69</v>
      </c>
      <c r="K31" s="166" t="s">
        <v>67</v>
      </c>
      <c r="L31" s="166" t="s">
        <v>67</v>
      </c>
      <c r="M31" s="166" t="s">
        <v>69</v>
      </c>
      <c r="N31" s="166" t="s">
        <v>67</v>
      </c>
    </row>
    <row r="32" spans="1:14" ht="14.15" customHeight="1">
      <c r="A32" s="157" t="str">
        <f t="shared" si="2"/>
        <v>5.1.b</v>
      </c>
      <c r="B32" s="398"/>
      <c r="C32" s="197" t="s">
        <v>414</v>
      </c>
      <c r="D32" s="197"/>
      <c r="E32" s="163" t="s">
        <v>69</v>
      </c>
      <c r="F32" s="164" t="s">
        <v>67</v>
      </c>
      <c r="G32" s="164" t="s">
        <v>69</v>
      </c>
      <c r="H32" s="164" t="s">
        <v>67</v>
      </c>
      <c r="I32" s="164" t="s">
        <v>69</v>
      </c>
      <c r="J32" s="164" t="s">
        <v>69</v>
      </c>
      <c r="K32" s="164" t="s">
        <v>67</v>
      </c>
      <c r="L32" s="164" t="s">
        <v>69</v>
      </c>
      <c r="M32" s="164" t="s">
        <v>69</v>
      </c>
      <c r="N32" s="164" t="s">
        <v>69</v>
      </c>
    </row>
    <row r="33" spans="1:14" ht="14.15" customHeight="1">
      <c r="A33" s="157" t="str">
        <f t="shared" si="2"/>
        <v>5.1.c</v>
      </c>
      <c r="B33" s="398"/>
      <c r="C33" s="197" t="s">
        <v>419</v>
      </c>
      <c r="D33" s="197"/>
      <c r="E33" s="165" t="s">
        <v>69</v>
      </c>
      <c r="F33" s="166" t="s">
        <v>69</v>
      </c>
      <c r="G33" s="166" t="s">
        <v>69</v>
      </c>
      <c r="H33" s="166" t="s">
        <v>67</v>
      </c>
      <c r="I33" s="166" t="s">
        <v>69</v>
      </c>
      <c r="J33" s="166" t="s">
        <v>69</v>
      </c>
      <c r="K33" s="166" t="s">
        <v>69</v>
      </c>
      <c r="L33" s="166" t="s">
        <v>69</v>
      </c>
      <c r="M33" s="166" t="s">
        <v>69</v>
      </c>
      <c r="N33" s="166" t="s">
        <v>69</v>
      </c>
    </row>
    <row r="34" spans="1:14" ht="14.15" customHeight="1">
      <c r="A34" s="157" t="str">
        <f t="shared" si="2"/>
        <v>5.1.d</v>
      </c>
      <c r="B34" s="398"/>
      <c r="C34" s="197" t="s">
        <v>417</v>
      </c>
      <c r="D34" s="197"/>
      <c r="E34" s="163" t="s">
        <v>92</v>
      </c>
      <c r="F34" s="164" t="s">
        <v>92</v>
      </c>
      <c r="G34" s="164" t="s">
        <v>92</v>
      </c>
      <c r="H34" s="164" t="s">
        <v>92</v>
      </c>
      <c r="I34" s="164" t="s">
        <v>92</v>
      </c>
      <c r="J34" s="164" t="s">
        <v>92</v>
      </c>
      <c r="K34" s="164" t="s">
        <v>92</v>
      </c>
      <c r="L34" s="164" t="s">
        <v>92</v>
      </c>
      <c r="M34" s="164" t="s">
        <v>92</v>
      </c>
      <c r="N34" s="164" t="s">
        <v>92</v>
      </c>
    </row>
    <row r="35" spans="1:14" ht="14.15" customHeight="1">
      <c r="A35" s="157">
        <v>5.2</v>
      </c>
      <c r="B35" s="398"/>
      <c r="C35" s="197" t="s">
        <v>648</v>
      </c>
      <c r="D35" s="197"/>
      <c r="E35" s="165" t="s">
        <v>69</v>
      </c>
      <c r="F35" s="166" t="s">
        <v>69</v>
      </c>
      <c r="G35" s="166" t="s">
        <v>69</v>
      </c>
      <c r="H35" s="166" t="s">
        <v>64</v>
      </c>
      <c r="I35" s="166" t="s">
        <v>69</v>
      </c>
      <c r="J35" s="166" t="s">
        <v>69</v>
      </c>
      <c r="K35" s="166" t="s">
        <v>64</v>
      </c>
      <c r="L35" s="166" t="s">
        <v>64</v>
      </c>
      <c r="M35" s="166" t="s">
        <v>69</v>
      </c>
      <c r="N35" s="166" t="s">
        <v>67</v>
      </c>
    </row>
    <row r="36" spans="1:14" ht="14.15" customHeight="1">
      <c r="A36" s="157" t="str">
        <f t="shared" si="2"/>
        <v>5.2.a</v>
      </c>
      <c r="B36" s="398"/>
      <c r="C36" s="197" t="s">
        <v>435</v>
      </c>
      <c r="D36" s="197"/>
      <c r="E36" s="165" t="s">
        <v>69</v>
      </c>
      <c r="F36" s="166" t="s">
        <v>69</v>
      </c>
      <c r="G36" s="166" t="s">
        <v>69</v>
      </c>
      <c r="H36" s="166" t="s">
        <v>67</v>
      </c>
      <c r="I36" s="166" t="s">
        <v>69</v>
      </c>
      <c r="J36" s="166" t="s">
        <v>69</v>
      </c>
      <c r="K36" s="166" t="s">
        <v>67</v>
      </c>
      <c r="L36" s="166" t="s">
        <v>67</v>
      </c>
      <c r="M36" s="166" t="s">
        <v>69</v>
      </c>
      <c r="N36" s="166" t="s">
        <v>67</v>
      </c>
    </row>
    <row r="37" spans="1:14" ht="14.15" customHeight="1">
      <c r="A37" s="157" t="str">
        <f t="shared" si="2"/>
        <v>5.2.b</v>
      </c>
      <c r="B37" s="399"/>
      <c r="C37" s="160" t="s">
        <v>436</v>
      </c>
      <c r="D37" s="160"/>
      <c r="E37" s="163" t="s">
        <v>69</v>
      </c>
      <c r="F37" s="164" t="s">
        <v>69</v>
      </c>
      <c r="G37" s="164" t="s">
        <v>69</v>
      </c>
      <c r="H37" s="164" t="s">
        <v>69</v>
      </c>
      <c r="I37" s="164" t="s">
        <v>69</v>
      </c>
      <c r="J37" s="164" t="s">
        <v>69</v>
      </c>
      <c r="K37" s="164" t="s">
        <v>69</v>
      </c>
      <c r="L37" s="164" t="s">
        <v>69</v>
      </c>
      <c r="M37" s="164" t="s">
        <v>69</v>
      </c>
      <c r="N37" s="164" t="s">
        <v>67</v>
      </c>
    </row>
    <row r="38" spans="1:14" ht="21" customHeight="1">
      <c r="A38" s="157">
        <v>6</v>
      </c>
      <c r="B38" s="397" t="s">
        <v>163</v>
      </c>
      <c r="C38" s="195" t="s">
        <v>649</v>
      </c>
      <c r="D38" s="196"/>
      <c r="E38" s="163" t="s">
        <v>67</v>
      </c>
      <c r="F38" s="164" t="s">
        <v>64</v>
      </c>
      <c r="G38" s="164" t="s">
        <v>69</v>
      </c>
      <c r="H38" s="164" t="s">
        <v>67</v>
      </c>
      <c r="I38" s="164" t="s">
        <v>64</v>
      </c>
      <c r="J38" s="164" t="s">
        <v>69</v>
      </c>
      <c r="K38" s="164" t="s">
        <v>69</v>
      </c>
      <c r="L38" s="164" t="s">
        <v>64</v>
      </c>
      <c r="M38" s="164" t="s">
        <v>69</v>
      </c>
      <c r="N38" s="164" t="s">
        <v>64</v>
      </c>
    </row>
    <row r="39" spans="1:14" ht="14.15" customHeight="1">
      <c r="A39" s="157">
        <v>6.1</v>
      </c>
      <c r="B39" s="398"/>
      <c r="C39" s="197" t="s">
        <v>650</v>
      </c>
      <c r="D39" s="197"/>
      <c r="E39" s="165" t="s">
        <v>67</v>
      </c>
      <c r="F39" s="166" t="s">
        <v>69</v>
      </c>
      <c r="G39" s="166" t="s">
        <v>69</v>
      </c>
      <c r="H39" s="166" t="s">
        <v>67</v>
      </c>
      <c r="I39" s="166" t="s">
        <v>69</v>
      </c>
      <c r="J39" s="166" t="s">
        <v>69</v>
      </c>
      <c r="K39" s="166" t="s">
        <v>69</v>
      </c>
      <c r="L39" s="166" t="s">
        <v>64</v>
      </c>
      <c r="M39" s="166" t="s">
        <v>69</v>
      </c>
      <c r="N39" s="166" t="s">
        <v>64</v>
      </c>
    </row>
    <row r="40" spans="1:14" ht="14.15" customHeight="1">
      <c r="A40" s="157" t="str">
        <f t="shared" si="2"/>
        <v>6.1.a</v>
      </c>
      <c r="B40" s="398"/>
      <c r="C40" s="197" t="s">
        <v>165</v>
      </c>
      <c r="D40" s="197"/>
      <c r="E40" s="165" t="s">
        <v>67</v>
      </c>
      <c r="F40" s="166" t="s">
        <v>69</v>
      </c>
      <c r="G40" s="166" t="s">
        <v>69</v>
      </c>
      <c r="H40" s="166" t="s">
        <v>67</v>
      </c>
      <c r="I40" s="166" t="s">
        <v>69</v>
      </c>
      <c r="J40" s="166" t="s">
        <v>69</v>
      </c>
      <c r="K40" s="166" t="s">
        <v>69</v>
      </c>
      <c r="L40" s="166" t="s">
        <v>69</v>
      </c>
      <c r="M40" s="166" t="s">
        <v>69</v>
      </c>
      <c r="N40" s="166" t="s">
        <v>69</v>
      </c>
    </row>
    <row r="41" spans="1:14" ht="14.15" customHeight="1">
      <c r="A41" s="157" t="str">
        <f t="shared" si="2"/>
        <v>6.1.b</v>
      </c>
      <c r="B41" s="398"/>
      <c r="C41" s="197" t="s">
        <v>166</v>
      </c>
      <c r="D41" s="197"/>
      <c r="E41" s="163" t="s">
        <v>67</v>
      </c>
      <c r="F41" s="164" t="s">
        <v>69</v>
      </c>
      <c r="G41" s="164" t="s">
        <v>69</v>
      </c>
      <c r="H41" s="164" t="s">
        <v>67</v>
      </c>
      <c r="I41" s="164" t="s">
        <v>69</v>
      </c>
      <c r="J41" s="164" t="s">
        <v>69</v>
      </c>
      <c r="K41" s="164" t="s">
        <v>69</v>
      </c>
      <c r="L41" s="164" t="s">
        <v>67</v>
      </c>
      <c r="M41" s="164" t="s">
        <v>69</v>
      </c>
      <c r="N41" s="164" t="s">
        <v>67</v>
      </c>
    </row>
    <row r="42" spans="1:14" ht="14.15" customHeight="1">
      <c r="A42" s="157">
        <v>6.2</v>
      </c>
      <c r="B42" s="398"/>
      <c r="C42" s="197" t="s">
        <v>651</v>
      </c>
      <c r="D42" s="197"/>
      <c r="E42" s="165" t="s">
        <v>67</v>
      </c>
      <c r="F42" s="166" t="s">
        <v>64</v>
      </c>
      <c r="G42" s="166" t="s">
        <v>69</v>
      </c>
      <c r="H42" s="166" t="s">
        <v>67</v>
      </c>
      <c r="I42" s="166" t="s">
        <v>64</v>
      </c>
      <c r="J42" s="166" t="s">
        <v>69</v>
      </c>
      <c r="K42" s="166" t="s">
        <v>69</v>
      </c>
      <c r="L42" s="166" t="s">
        <v>64</v>
      </c>
      <c r="M42" s="166" t="s">
        <v>69</v>
      </c>
      <c r="N42" s="166" t="s">
        <v>67</v>
      </c>
    </row>
    <row r="43" spans="1:14" ht="14.15" customHeight="1">
      <c r="A43" s="157" t="str">
        <f t="shared" si="2"/>
        <v>6.2.a</v>
      </c>
      <c r="B43" s="398"/>
      <c r="C43" s="197" t="s">
        <v>177</v>
      </c>
      <c r="D43" s="197"/>
      <c r="E43" s="165" t="s">
        <v>67</v>
      </c>
      <c r="F43" s="166" t="s">
        <v>69</v>
      </c>
      <c r="G43" s="166" t="s">
        <v>69</v>
      </c>
      <c r="H43" s="166" t="s">
        <v>67</v>
      </c>
      <c r="I43" s="166" t="s">
        <v>69</v>
      </c>
      <c r="J43" s="166" t="s">
        <v>69</v>
      </c>
      <c r="K43" s="166" t="s">
        <v>69</v>
      </c>
      <c r="L43" s="166" t="s">
        <v>67</v>
      </c>
      <c r="M43" s="166" t="s">
        <v>69</v>
      </c>
      <c r="N43" s="166" t="s">
        <v>67</v>
      </c>
    </row>
    <row r="44" spans="1:14" ht="14.15" customHeight="1">
      <c r="A44" s="157" t="str">
        <f t="shared" si="2"/>
        <v>6.2.b</v>
      </c>
      <c r="B44" s="399"/>
      <c r="C44" s="197" t="s">
        <v>178</v>
      </c>
      <c r="D44" s="197"/>
      <c r="E44" s="163" t="s">
        <v>67</v>
      </c>
      <c r="F44" s="164" t="s">
        <v>67</v>
      </c>
      <c r="G44" s="164" t="s">
        <v>69</v>
      </c>
      <c r="H44" s="164" t="s">
        <v>67</v>
      </c>
      <c r="I44" s="164" t="s">
        <v>67</v>
      </c>
      <c r="J44" s="164" t="s">
        <v>652</v>
      </c>
      <c r="K44" s="164" t="s">
        <v>69</v>
      </c>
      <c r="L44" s="164" t="s">
        <v>69</v>
      </c>
      <c r="M44" s="164" t="s">
        <v>69</v>
      </c>
      <c r="N44" s="164" t="s">
        <v>67</v>
      </c>
    </row>
    <row r="45" spans="1:14" ht="21" customHeight="1">
      <c r="A45" s="157">
        <v>7</v>
      </c>
      <c r="B45" s="397" t="s">
        <v>192</v>
      </c>
      <c r="C45" s="195" t="s">
        <v>653</v>
      </c>
      <c r="D45" s="196"/>
      <c r="E45" s="163" t="s">
        <v>64</v>
      </c>
      <c r="F45" s="164" t="s">
        <v>69</v>
      </c>
      <c r="G45" s="164" t="s">
        <v>64</v>
      </c>
      <c r="H45" s="164" t="s">
        <v>64</v>
      </c>
      <c r="I45" s="164" t="s">
        <v>64</v>
      </c>
      <c r="J45" s="164" t="s">
        <v>69</v>
      </c>
      <c r="K45" s="164" t="s">
        <v>64</v>
      </c>
      <c r="L45" s="164" t="s">
        <v>64</v>
      </c>
      <c r="M45" s="164" t="s">
        <v>69</v>
      </c>
      <c r="N45" s="164" t="s">
        <v>64</v>
      </c>
    </row>
    <row r="46" spans="1:14" ht="14.15" customHeight="1">
      <c r="A46" s="157">
        <v>7.1</v>
      </c>
      <c r="B46" s="398"/>
      <c r="C46" s="197" t="s">
        <v>193</v>
      </c>
      <c r="D46" s="197"/>
      <c r="E46" s="165" t="s">
        <v>64</v>
      </c>
      <c r="F46" s="166" t="s">
        <v>69</v>
      </c>
      <c r="G46" s="166" t="s">
        <v>64</v>
      </c>
      <c r="H46" s="166" t="s">
        <v>64</v>
      </c>
      <c r="I46" s="166" t="s">
        <v>69</v>
      </c>
      <c r="J46" s="166" t="s">
        <v>69</v>
      </c>
      <c r="K46" s="166" t="s">
        <v>64</v>
      </c>
      <c r="L46" s="166" t="s">
        <v>69</v>
      </c>
      <c r="M46" s="166" t="s">
        <v>69</v>
      </c>
      <c r="N46" s="166" t="s">
        <v>64</v>
      </c>
    </row>
    <row r="47" spans="1:14" ht="14.15" customHeight="1">
      <c r="A47" s="157" t="str">
        <f t="shared" si="2"/>
        <v>7.1.a</v>
      </c>
      <c r="B47" s="398"/>
      <c r="C47" s="197" t="s">
        <v>195</v>
      </c>
      <c r="D47" s="197"/>
      <c r="E47" s="165" t="s">
        <v>67</v>
      </c>
      <c r="F47" s="166" t="s">
        <v>69</v>
      </c>
      <c r="G47" s="166" t="s">
        <v>67</v>
      </c>
      <c r="H47" s="166" t="s">
        <v>67</v>
      </c>
      <c r="I47" s="166" t="s">
        <v>69</v>
      </c>
      <c r="J47" s="166" t="s">
        <v>69</v>
      </c>
      <c r="K47" s="166" t="s">
        <v>67</v>
      </c>
      <c r="L47" s="166" t="s">
        <v>69</v>
      </c>
      <c r="M47" s="166" t="s">
        <v>69</v>
      </c>
      <c r="N47" s="166" t="s">
        <v>67</v>
      </c>
    </row>
    <row r="48" spans="1:14" ht="14.15" customHeight="1">
      <c r="A48" s="157" t="str">
        <f t="shared" si="2"/>
        <v>7.1.b</v>
      </c>
      <c r="B48" s="398"/>
      <c r="C48" s="197" t="s">
        <v>197</v>
      </c>
      <c r="D48" s="197"/>
      <c r="E48" s="163" t="s">
        <v>67</v>
      </c>
      <c r="F48" s="164" t="s">
        <v>69</v>
      </c>
      <c r="G48" s="164" t="s">
        <v>69</v>
      </c>
      <c r="H48" s="164" t="s">
        <v>69</v>
      </c>
      <c r="I48" s="164" t="s">
        <v>69</v>
      </c>
      <c r="J48" s="164" t="s">
        <v>69</v>
      </c>
      <c r="K48" s="164" t="s">
        <v>67</v>
      </c>
      <c r="L48" s="164" t="s">
        <v>69</v>
      </c>
      <c r="M48" s="164" t="s">
        <v>69</v>
      </c>
      <c r="N48" s="164" t="s">
        <v>67</v>
      </c>
    </row>
    <row r="49" spans="1:14" ht="14.15" customHeight="1">
      <c r="A49" s="157" t="str">
        <f t="shared" si="2"/>
        <v>7.1.c</v>
      </c>
      <c r="B49" s="398"/>
      <c r="C49" s="197" t="s">
        <v>199</v>
      </c>
      <c r="D49" s="197"/>
      <c r="E49" s="165" t="s">
        <v>69</v>
      </c>
      <c r="F49" s="166" t="s">
        <v>69</v>
      </c>
      <c r="G49" s="166" t="s">
        <v>69</v>
      </c>
      <c r="H49" s="166" t="s">
        <v>69</v>
      </c>
      <c r="I49" s="166" t="s">
        <v>69</v>
      </c>
      <c r="J49" s="166" t="s">
        <v>69</v>
      </c>
      <c r="K49" s="166" t="s">
        <v>69</v>
      </c>
      <c r="L49" s="166" t="s">
        <v>69</v>
      </c>
      <c r="M49" s="166" t="s">
        <v>69</v>
      </c>
      <c r="N49" s="166" t="s">
        <v>69</v>
      </c>
    </row>
    <row r="50" spans="1:14" ht="14.15" customHeight="1">
      <c r="A50" s="157">
        <v>7.2</v>
      </c>
      <c r="B50" s="398"/>
      <c r="C50" s="197" t="s">
        <v>200</v>
      </c>
      <c r="D50" s="197"/>
      <c r="E50" s="165" t="s">
        <v>64</v>
      </c>
      <c r="F50" s="166" t="s">
        <v>69</v>
      </c>
      <c r="G50" s="166" t="s">
        <v>69</v>
      </c>
      <c r="H50" s="166" t="s">
        <v>64</v>
      </c>
      <c r="I50" s="166" t="s">
        <v>64</v>
      </c>
      <c r="J50" s="166" t="s">
        <v>69</v>
      </c>
      <c r="K50" s="166" t="s">
        <v>64</v>
      </c>
      <c r="L50" s="166" t="s">
        <v>64</v>
      </c>
      <c r="M50" s="166" t="s">
        <v>69</v>
      </c>
      <c r="N50" s="166" t="s">
        <v>69</v>
      </c>
    </row>
    <row r="51" spans="1:14" ht="14">
      <c r="A51" s="157" t="str">
        <f t="shared" si="2"/>
        <v>7.2.a</v>
      </c>
      <c r="B51" s="398"/>
      <c r="C51" s="197" t="s">
        <v>202</v>
      </c>
      <c r="D51" s="197"/>
      <c r="E51" s="165" t="s">
        <v>69</v>
      </c>
      <c r="F51" s="166" t="s">
        <v>69</v>
      </c>
      <c r="G51" s="166" t="s">
        <v>69</v>
      </c>
      <c r="H51" s="166" t="s">
        <v>69</v>
      </c>
      <c r="I51" s="166" t="s">
        <v>69</v>
      </c>
      <c r="J51" s="166" t="s">
        <v>69</v>
      </c>
      <c r="K51" s="166" t="s">
        <v>69</v>
      </c>
      <c r="L51" s="166" t="s">
        <v>69</v>
      </c>
      <c r="M51" s="166" t="s">
        <v>69</v>
      </c>
      <c r="N51" s="166" t="s">
        <v>69</v>
      </c>
    </row>
    <row r="52" spans="1:14" ht="14">
      <c r="A52" s="157" t="str">
        <f t="shared" si="2"/>
        <v>7.2.b</v>
      </c>
      <c r="B52" s="399"/>
      <c r="C52" s="197" t="s">
        <v>204</v>
      </c>
      <c r="D52" s="197"/>
      <c r="E52" s="163" t="s">
        <v>67</v>
      </c>
      <c r="F52" s="164" t="s">
        <v>69</v>
      </c>
      <c r="G52" s="164" t="s">
        <v>69</v>
      </c>
      <c r="H52" s="164" t="s">
        <v>67</v>
      </c>
      <c r="I52" s="164" t="s">
        <v>67</v>
      </c>
      <c r="J52" s="164" t="s">
        <v>69</v>
      </c>
      <c r="K52" s="164" t="s">
        <v>67</v>
      </c>
      <c r="L52" s="164" t="s">
        <v>67</v>
      </c>
      <c r="M52" s="164" t="s">
        <v>69</v>
      </c>
      <c r="N52" s="164" t="s">
        <v>69</v>
      </c>
    </row>
    <row r="53" spans="1:14" ht="21" customHeight="1">
      <c r="A53" s="157">
        <v>8</v>
      </c>
      <c r="B53" s="397" t="s">
        <v>205</v>
      </c>
      <c r="C53" s="195" t="s">
        <v>654</v>
      </c>
      <c r="D53" s="196"/>
      <c r="E53" s="163" t="s">
        <v>67</v>
      </c>
      <c r="F53" s="164" t="s">
        <v>64</v>
      </c>
      <c r="G53" s="164" t="s">
        <v>64</v>
      </c>
      <c r="H53" s="164" t="s">
        <v>64</v>
      </c>
      <c r="I53" s="164" t="s">
        <v>64</v>
      </c>
      <c r="J53" s="164" t="s">
        <v>64</v>
      </c>
      <c r="K53" s="164" t="s">
        <v>64</v>
      </c>
      <c r="L53" s="164" t="s">
        <v>64</v>
      </c>
      <c r="M53" s="164" t="s">
        <v>64</v>
      </c>
      <c r="N53" s="164" t="s">
        <v>67</v>
      </c>
    </row>
    <row r="54" spans="1:14" ht="14.15" customHeight="1">
      <c r="A54" s="157">
        <v>8.1</v>
      </c>
      <c r="B54" s="398"/>
      <c r="C54" s="197" t="s">
        <v>206</v>
      </c>
      <c r="D54" s="197"/>
      <c r="E54" s="165" t="s">
        <v>67</v>
      </c>
      <c r="F54" s="166" t="s">
        <v>64</v>
      </c>
      <c r="G54" s="166" t="s">
        <v>64</v>
      </c>
      <c r="H54" s="166" t="s">
        <v>67</v>
      </c>
      <c r="I54" s="166" t="s">
        <v>64</v>
      </c>
      <c r="J54" s="166" t="s">
        <v>67</v>
      </c>
      <c r="K54" s="166" t="s">
        <v>67</v>
      </c>
      <c r="L54" s="166" t="s">
        <v>67</v>
      </c>
      <c r="M54" s="166" t="s">
        <v>64</v>
      </c>
      <c r="N54" s="166" t="s">
        <v>67</v>
      </c>
    </row>
    <row r="55" spans="1:14" ht="14.15" customHeight="1">
      <c r="A55" s="157" t="str">
        <f t="shared" si="2"/>
        <v>8.1.a</v>
      </c>
      <c r="B55" s="398"/>
      <c r="C55" s="197" t="s">
        <v>207</v>
      </c>
      <c r="D55" s="197"/>
      <c r="E55" s="165" t="s">
        <v>67</v>
      </c>
      <c r="F55" s="166" t="s">
        <v>67</v>
      </c>
      <c r="G55" s="166" t="s">
        <v>67</v>
      </c>
      <c r="H55" s="166" t="s">
        <v>67</v>
      </c>
      <c r="I55" s="166" t="s">
        <v>67</v>
      </c>
      <c r="J55" s="166" t="s">
        <v>67</v>
      </c>
      <c r="K55" s="166" t="s">
        <v>67</v>
      </c>
      <c r="L55" s="166" t="s">
        <v>67</v>
      </c>
      <c r="M55" s="166" t="s">
        <v>67</v>
      </c>
      <c r="N55" s="166" t="s">
        <v>67</v>
      </c>
    </row>
    <row r="56" spans="1:14" ht="14.15" customHeight="1">
      <c r="A56" s="157" t="str">
        <f t="shared" si="2"/>
        <v>8.1.b</v>
      </c>
      <c r="B56" s="398"/>
      <c r="C56" s="197" t="s">
        <v>208</v>
      </c>
      <c r="D56" s="197"/>
      <c r="E56" s="163" t="s">
        <v>67</v>
      </c>
      <c r="F56" s="164" t="s">
        <v>69</v>
      </c>
      <c r="G56" s="164" t="s">
        <v>69</v>
      </c>
      <c r="H56" s="164" t="s">
        <v>67</v>
      </c>
      <c r="I56" s="164" t="s">
        <v>69</v>
      </c>
      <c r="J56" s="164" t="s">
        <v>67</v>
      </c>
      <c r="K56" s="164" t="s">
        <v>67</v>
      </c>
      <c r="L56" s="164" t="s">
        <v>67</v>
      </c>
      <c r="M56" s="164" t="s">
        <v>69</v>
      </c>
      <c r="N56" s="164" t="s">
        <v>67</v>
      </c>
    </row>
    <row r="57" spans="1:14" ht="14.15" customHeight="1">
      <c r="A57" s="157">
        <v>8.1999999999999993</v>
      </c>
      <c r="B57" s="398"/>
      <c r="C57" s="197" t="s">
        <v>209</v>
      </c>
      <c r="D57" s="197"/>
      <c r="E57" s="165" t="s">
        <v>67</v>
      </c>
      <c r="F57" s="166" t="s">
        <v>64</v>
      </c>
      <c r="G57" s="166" t="s">
        <v>69</v>
      </c>
      <c r="H57" s="166" t="s">
        <v>67</v>
      </c>
      <c r="I57" s="166" t="s">
        <v>67</v>
      </c>
      <c r="J57" s="166" t="s">
        <v>64</v>
      </c>
      <c r="K57" s="166" t="s">
        <v>67</v>
      </c>
      <c r="L57" s="166" t="s">
        <v>67</v>
      </c>
      <c r="M57" s="166" t="s">
        <v>69</v>
      </c>
      <c r="N57" s="166" t="s">
        <v>67</v>
      </c>
    </row>
    <row r="58" spans="1:14" ht="14.15" customHeight="1">
      <c r="A58" s="157" t="str">
        <f t="shared" si="2"/>
        <v>8.2.a</v>
      </c>
      <c r="B58" s="398"/>
      <c r="C58" s="197" t="s">
        <v>210</v>
      </c>
      <c r="D58" s="197"/>
      <c r="E58" s="165" t="s">
        <v>67</v>
      </c>
      <c r="F58" s="166" t="s">
        <v>67</v>
      </c>
      <c r="G58" s="166" t="s">
        <v>69</v>
      </c>
      <c r="H58" s="166" t="s">
        <v>67</v>
      </c>
      <c r="I58" s="166" t="s">
        <v>67</v>
      </c>
      <c r="J58" s="166" t="s">
        <v>67</v>
      </c>
      <c r="K58" s="166" t="s">
        <v>67</v>
      </c>
      <c r="L58" s="166" t="s">
        <v>67</v>
      </c>
      <c r="M58" s="166" t="s">
        <v>69</v>
      </c>
      <c r="N58" s="166" t="s">
        <v>67</v>
      </c>
    </row>
    <row r="59" spans="1:14" ht="14.15" customHeight="1">
      <c r="A59" s="157" t="str">
        <f t="shared" si="2"/>
        <v>8.2.b</v>
      </c>
      <c r="B59" s="398"/>
      <c r="C59" s="197" t="s">
        <v>211</v>
      </c>
      <c r="D59" s="197"/>
      <c r="E59" s="163" t="s">
        <v>67</v>
      </c>
      <c r="F59" s="164" t="s">
        <v>69</v>
      </c>
      <c r="G59" s="164" t="s">
        <v>69</v>
      </c>
      <c r="H59" s="164" t="s">
        <v>67</v>
      </c>
      <c r="I59" s="164" t="s">
        <v>67</v>
      </c>
      <c r="J59" s="164" t="s">
        <v>69</v>
      </c>
      <c r="K59" s="164" t="s">
        <v>67</v>
      </c>
      <c r="L59" s="164" t="s">
        <v>67</v>
      </c>
      <c r="M59" s="164" t="s">
        <v>69</v>
      </c>
      <c r="N59" s="164" t="s">
        <v>67</v>
      </c>
    </row>
    <row r="60" spans="1:14" ht="14.15" customHeight="1">
      <c r="A60" s="157">
        <v>8.3000000000000007</v>
      </c>
      <c r="B60" s="398"/>
      <c r="C60" s="197" t="s">
        <v>655</v>
      </c>
      <c r="D60" s="197"/>
      <c r="E60" s="165" t="s">
        <v>67</v>
      </c>
      <c r="F60" s="166" t="s">
        <v>64</v>
      </c>
      <c r="G60" s="166" t="s">
        <v>69</v>
      </c>
      <c r="H60" s="166" t="s">
        <v>69</v>
      </c>
      <c r="I60" s="166" t="s">
        <v>64</v>
      </c>
      <c r="J60" s="166" t="s">
        <v>69</v>
      </c>
      <c r="K60" s="166" t="s">
        <v>69</v>
      </c>
      <c r="L60" s="166" t="s">
        <v>69</v>
      </c>
      <c r="M60" s="166" t="s">
        <v>64</v>
      </c>
      <c r="N60" s="166" t="s">
        <v>67</v>
      </c>
    </row>
    <row r="61" spans="1:14" ht="14.15" customHeight="1">
      <c r="A61" s="157" t="str">
        <f t="shared" si="2"/>
        <v>8.3.a</v>
      </c>
      <c r="B61" s="398"/>
      <c r="C61" s="197" t="s">
        <v>213</v>
      </c>
      <c r="D61" s="197"/>
      <c r="E61" s="165" t="s">
        <v>67</v>
      </c>
      <c r="F61" s="166" t="s">
        <v>67</v>
      </c>
      <c r="G61" s="166" t="s">
        <v>69</v>
      </c>
      <c r="H61" s="166" t="s">
        <v>69</v>
      </c>
      <c r="I61" s="166" t="s">
        <v>67</v>
      </c>
      <c r="J61" s="166" t="s">
        <v>69</v>
      </c>
      <c r="K61" s="166" t="s">
        <v>69</v>
      </c>
      <c r="L61" s="166" t="s">
        <v>69</v>
      </c>
      <c r="M61" s="166" t="s">
        <v>67</v>
      </c>
      <c r="N61" s="166" t="s">
        <v>67</v>
      </c>
    </row>
    <row r="62" spans="1:14" ht="14">
      <c r="A62" s="157" t="str">
        <f t="shared" si="2"/>
        <v>8.3.b</v>
      </c>
      <c r="B62" s="399"/>
      <c r="C62" s="197" t="s">
        <v>214</v>
      </c>
      <c r="D62" s="197"/>
      <c r="E62" s="163" t="s">
        <v>67</v>
      </c>
      <c r="F62" s="164" t="s">
        <v>69</v>
      </c>
      <c r="G62" s="164" t="s">
        <v>69</v>
      </c>
      <c r="H62" s="164" t="s">
        <v>69</v>
      </c>
      <c r="I62" s="164" t="s">
        <v>69</v>
      </c>
      <c r="J62" s="164" t="s">
        <v>69</v>
      </c>
      <c r="K62" s="164" t="s">
        <v>69</v>
      </c>
      <c r="L62" s="164" t="s">
        <v>69</v>
      </c>
      <c r="M62" s="164" t="s">
        <v>69</v>
      </c>
      <c r="N62" s="164" t="s">
        <v>67</v>
      </c>
    </row>
    <row r="63" spans="1:14" ht="23.5" customHeight="1">
      <c r="A63" s="157">
        <v>9</v>
      </c>
      <c r="B63" s="397" t="s">
        <v>215</v>
      </c>
      <c r="C63" s="195" t="s">
        <v>656</v>
      </c>
      <c r="D63" s="196"/>
      <c r="E63" s="163" t="s">
        <v>64</v>
      </c>
      <c r="F63" s="164" t="s">
        <v>69</v>
      </c>
      <c r="G63" s="164" t="s">
        <v>64</v>
      </c>
      <c r="H63" s="164" t="s">
        <v>64</v>
      </c>
      <c r="I63" s="164" t="s">
        <v>64</v>
      </c>
      <c r="J63" s="164" t="s">
        <v>69</v>
      </c>
      <c r="K63" s="164" t="s">
        <v>64</v>
      </c>
      <c r="L63" s="164" t="s">
        <v>69</v>
      </c>
      <c r="M63" s="164" t="s">
        <v>69</v>
      </c>
      <c r="N63" s="164" t="s">
        <v>64</v>
      </c>
    </row>
    <row r="64" spans="1:14" ht="14.15" customHeight="1">
      <c r="A64" s="157">
        <v>9.1</v>
      </c>
      <c r="B64" s="398"/>
      <c r="C64" s="197" t="s">
        <v>216</v>
      </c>
      <c r="D64" s="197"/>
      <c r="E64" s="165" t="s">
        <v>64</v>
      </c>
      <c r="F64" s="166" t="s">
        <v>69</v>
      </c>
      <c r="G64" s="166" t="s">
        <v>64</v>
      </c>
      <c r="H64" s="166" t="s">
        <v>64</v>
      </c>
      <c r="I64" s="166" t="s">
        <v>64</v>
      </c>
      <c r="J64" s="166" t="s">
        <v>69</v>
      </c>
      <c r="K64" s="166" t="s">
        <v>67</v>
      </c>
      <c r="L64" s="166" t="s">
        <v>69</v>
      </c>
      <c r="M64" s="166" t="s">
        <v>69</v>
      </c>
      <c r="N64" s="166" t="s">
        <v>64</v>
      </c>
    </row>
    <row r="65" spans="1:15" ht="14.15" customHeight="1">
      <c r="A65" s="157" t="str">
        <f t="shared" si="2"/>
        <v>9.1.a</v>
      </c>
      <c r="B65" s="398"/>
      <c r="C65" s="197" t="s">
        <v>217</v>
      </c>
      <c r="D65" s="197"/>
      <c r="E65" s="165" t="s">
        <v>67</v>
      </c>
      <c r="F65" s="166" t="s">
        <v>69</v>
      </c>
      <c r="G65" s="166" t="s">
        <v>67</v>
      </c>
      <c r="H65" s="166" t="s">
        <v>67</v>
      </c>
      <c r="I65" s="166" t="s">
        <v>67</v>
      </c>
      <c r="J65" s="166" t="s">
        <v>69</v>
      </c>
      <c r="K65" s="166" t="s">
        <v>67</v>
      </c>
      <c r="L65" s="166" t="s">
        <v>69</v>
      </c>
      <c r="M65" s="166" t="s">
        <v>69</v>
      </c>
      <c r="N65" s="166" t="s">
        <v>67</v>
      </c>
    </row>
    <row r="66" spans="1:15" ht="14.15" customHeight="1">
      <c r="A66" s="157" t="str">
        <f t="shared" si="2"/>
        <v>9.1.b</v>
      </c>
      <c r="B66" s="398"/>
      <c r="C66" s="197" t="s">
        <v>218</v>
      </c>
      <c r="D66" s="197"/>
      <c r="E66" s="163" t="s">
        <v>67</v>
      </c>
      <c r="F66" s="164" t="s">
        <v>69</v>
      </c>
      <c r="G66" s="164" t="s">
        <v>69</v>
      </c>
      <c r="H66" s="164" t="s">
        <v>67</v>
      </c>
      <c r="I66" s="164" t="s">
        <v>69</v>
      </c>
      <c r="J66" s="164" t="s">
        <v>69</v>
      </c>
      <c r="K66" s="164" t="s">
        <v>67</v>
      </c>
      <c r="L66" s="164" t="s">
        <v>69</v>
      </c>
      <c r="M66" s="164" t="s">
        <v>69</v>
      </c>
      <c r="N66" s="164" t="s">
        <v>67</v>
      </c>
    </row>
    <row r="67" spans="1:15" ht="14.15" customHeight="1">
      <c r="A67" s="157" t="str">
        <f t="shared" si="2"/>
        <v>9.1.c</v>
      </c>
      <c r="B67" s="398"/>
      <c r="C67" s="197" t="s">
        <v>219</v>
      </c>
      <c r="D67" s="197"/>
      <c r="E67" s="165" t="s">
        <v>69</v>
      </c>
      <c r="F67" s="166" t="s">
        <v>69</v>
      </c>
      <c r="G67" s="166" t="s">
        <v>69</v>
      </c>
      <c r="H67" s="166" t="s">
        <v>69</v>
      </c>
      <c r="I67" s="166" t="s">
        <v>69</v>
      </c>
      <c r="J67" s="166" t="s">
        <v>69</v>
      </c>
      <c r="K67" s="166" t="s">
        <v>67</v>
      </c>
      <c r="L67" s="166" t="s">
        <v>69</v>
      </c>
      <c r="M67" s="166" t="s">
        <v>69</v>
      </c>
      <c r="N67" s="166" t="s">
        <v>69</v>
      </c>
    </row>
    <row r="68" spans="1:15" ht="14.15" customHeight="1">
      <c r="A68" s="157">
        <v>9.1999999999999993</v>
      </c>
      <c r="B68" s="398"/>
      <c r="C68" s="197" t="s">
        <v>220</v>
      </c>
      <c r="D68" s="197"/>
      <c r="E68" s="165" t="s">
        <v>69</v>
      </c>
      <c r="F68" s="166" t="s">
        <v>69</v>
      </c>
      <c r="G68" s="166" t="s">
        <v>69</v>
      </c>
      <c r="H68" s="166" t="s">
        <v>67</v>
      </c>
      <c r="I68" s="166" t="s">
        <v>69</v>
      </c>
      <c r="J68" s="166" t="s">
        <v>69</v>
      </c>
      <c r="K68" s="166" t="s">
        <v>64</v>
      </c>
      <c r="L68" s="166" t="s">
        <v>69</v>
      </c>
      <c r="M68" s="166" t="s">
        <v>69</v>
      </c>
      <c r="N68" s="166" t="s">
        <v>64</v>
      </c>
    </row>
    <row r="69" spans="1:15" ht="14.15" customHeight="1">
      <c r="A69" s="157" t="str">
        <f t="shared" si="2"/>
        <v>9.2.a</v>
      </c>
      <c r="B69" s="398"/>
      <c r="C69" s="197" t="s">
        <v>221</v>
      </c>
      <c r="D69" s="197"/>
      <c r="E69" s="165" t="s">
        <v>69</v>
      </c>
      <c r="F69" s="166" t="s">
        <v>69</v>
      </c>
      <c r="G69" s="166" t="s">
        <v>69</v>
      </c>
      <c r="H69" s="166" t="s">
        <v>67</v>
      </c>
      <c r="I69" s="166" t="s">
        <v>69</v>
      </c>
      <c r="J69" s="166" t="s">
        <v>69</v>
      </c>
      <c r="K69" s="166" t="s">
        <v>67</v>
      </c>
      <c r="L69" s="166" t="s">
        <v>69</v>
      </c>
      <c r="M69" s="166" t="s">
        <v>69</v>
      </c>
      <c r="N69" s="166" t="s">
        <v>67</v>
      </c>
    </row>
    <row r="70" spans="1:15" ht="14.15" customHeight="1">
      <c r="A70" s="157" t="str">
        <f t="shared" si="2"/>
        <v>9.2.b</v>
      </c>
      <c r="B70" s="398"/>
      <c r="C70" s="197" t="s">
        <v>222</v>
      </c>
      <c r="D70" s="197"/>
      <c r="E70" s="163" t="s">
        <v>69</v>
      </c>
      <c r="F70" s="164" t="s">
        <v>69</v>
      </c>
      <c r="G70" s="164" t="s">
        <v>69</v>
      </c>
      <c r="H70" s="164" t="s">
        <v>67</v>
      </c>
      <c r="I70" s="164" t="s">
        <v>69</v>
      </c>
      <c r="J70" s="164" t="s">
        <v>69</v>
      </c>
      <c r="K70" s="164" t="s">
        <v>67</v>
      </c>
      <c r="L70" s="164" t="s">
        <v>69</v>
      </c>
      <c r="M70" s="164" t="s">
        <v>69</v>
      </c>
      <c r="N70" s="164" t="s">
        <v>69</v>
      </c>
    </row>
    <row r="71" spans="1:15" ht="14.15" customHeight="1">
      <c r="A71" s="157" t="str">
        <f t="shared" si="2"/>
        <v>9.2.c</v>
      </c>
      <c r="B71" s="399"/>
      <c r="C71" s="197" t="s">
        <v>223</v>
      </c>
      <c r="D71" s="197"/>
      <c r="E71" s="165" t="s">
        <v>69</v>
      </c>
      <c r="F71" s="166" t="s">
        <v>69</v>
      </c>
      <c r="G71" s="166" t="s">
        <v>69</v>
      </c>
      <c r="H71" s="166" t="s">
        <v>67</v>
      </c>
      <c r="I71" s="166" t="s">
        <v>69</v>
      </c>
      <c r="J71" s="166" t="s">
        <v>69</v>
      </c>
      <c r="K71" s="166" t="s">
        <v>69</v>
      </c>
      <c r="L71" s="166" t="s">
        <v>69</v>
      </c>
      <c r="M71" s="166" t="s">
        <v>69</v>
      </c>
      <c r="N71" s="166" t="s">
        <v>69</v>
      </c>
    </row>
    <row r="72" spans="1:15" ht="21" customHeight="1">
      <c r="A72" s="157">
        <v>10</v>
      </c>
      <c r="B72" s="397" t="s">
        <v>224</v>
      </c>
      <c r="C72" s="195" t="s">
        <v>657</v>
      </c>
      <c r="D72" s="196"/>
      <c r="E72" s="163" t="s">
        <v>67</v>
      </c>
      <c r="F72" s="164" t="s">
        <v>64</v>
      </c>
      <c r="G72" s="164" t="s">
        <v>64</v>
      </c>
      <c r="H72" s="164" t="s">
        <v>64</v>
      </c>
      <c r="I72" s="164" t="s">
        <v>67</v>
      </c>
      <c r="J72" s="164" t="s">
        <v>67</v>
      </c>
      <c r="K72" s="164" t="s">
        <v>67</v>
      </c>
      <c r="L72" s="164" t="s">
        <v>67</v>
      </c>
      <c r="M72" s="164" t="s">
        <v>64</v>
      </c>
      <c r="N72" s="164" t="s">
        <v>67</v>
      </c>
    </row>
    <row r="73" spans="1:15" ht="14.15" customHeight="1">
      <c r="A73" s="157">
        <v>10.1</v>
      </c>
      <c r="B73" s="398"/>
      <c r="C73" s="197" t="s">
        <v>225</v>
      </c>
      <c r="D73" s="197"/>
      <c r="E73" s="165" t="s">
        <v>67</v>
      </c>
      <c r="F73" s="166" t="s">
        <v>69</v>
      </c>
      <c r="G73" s="166" t="s">
        <v>67</v>
      </c>
      <c r="H73" s="166" t="s">
        <v>67</v>
      </c>
      <c r="I73" s="166" t="s">
        <v>67</v>
      </c>
      <c r="J73" s="166" t="s">
        <v>67</v>
      </c>
      <c r="K73" s="166" t="s">
        <v>67</v>
      </c>
      <c r="L73" s="166" t="s">
        <v>67</v>
      </c>
      <c r="M73" s="166" t="s">
        <v>67</v>
      </c>
      <c r="N73" s="166" t="s">
        <v>67</v>
      </c>
    </row>
    <row r="74" spans="1:15" ht="14.15" customHeight="1">
      <c r="A74" s="157" t="str">
        <f t="shared" ref="A74:A78" si="3">LEFT(C74,FIND(":",C74)-1)</f>
        <v>10.1.a</v>
      </c>
      <c r="B74" s="398"/>
      <c r="C74" s="197" t="s">
        <v>227</v>
      </c>
      <c r="D74" s="197"/>
      <c r="E74" s="165" t="s">
        <v>67</v>
      </c>
      <c r="F74" s="166" t="s">
        <v>69</v>
      </c>
      <c r="G74" s="166" t="s">
        <v>67</v>
      </c>
      <c r="H74" s="166" t="s">
        <v>67</v>
      </c>
      <c r="I74" s="166" t="s">
        <v>67</v>
      </c>
      <c r="J74" s="166" t="s">
        <v>67</v>
      </c>
      <c r="K74" s="166" t="s">
        <v>67</v>
      </c>
      <c r="L74" s="166" t="s">
        <v>67</v>
      </c>
      <c r="M74" s="166" t="s">
        <v>67</v>
      </c>
      <c r="N74" s="166" t="s">
        <v>67</v>
      </c>
    </row>
    <row r="75" spans="1:15" ht="14.15" customHeight="1">
      <c r="A75" s="157" t="str">
        <f t="shared" si="3"/>
        <v>10.1.b</v>
      </c>
      <c r="B75" s="398"/>
      <c r="C75" s="197" t="s">
        <v>229</v>
      </c>
      <c r="D75" s="197"/>
      <c r="E75" s="163" t="s">
        <v>67</v>
      </c>
      <c r="F75" s="164" t="s">
        <v>69</v>
      </c>
      <c r="G75" s="164" t="s">
        <v>67</v>
      </c>
      <c r="H75" s="164" t="s">
        <v>67</v>
      </c>
      <c r="I75" s="164" t="s">
        <v>67</v>
      </c>
      <c r="J75" s="164" t="s">
        <v>67</v>
      </c>
      <c r="K75" s="164" t="s">
        <v>67</v>
      </c>
      <c r="L75" s="164" t="s">
        <v>67</v>
      </c>
      <c r="M75" s="164" t="s">
        <v>67</v>
      </c>
      <c r="N75" s="164" t="s">
        <v>67</v>
      </c>
    </row>
    <row r="76" spans="1:15" ht="14.15" customHeight="1">
      <c r="A76" s="157" t="str">
        <f t="shared" si="3"/>
        <v>10.2</v>
      </c>
      <c r="B76" s="398"/>
      <c r="C76" s="197" t="s">
        <v>230</v>
      </c>
      <c r="D76" s="197"/>
      <c r="E76" s="165" t="s">
        <v>67</v>
      </c>
      <c r="F76" s="166" t="s">
        <v>67</v>
      </c>
      <c r="G76" s="166" t="s">
        <v>64</v>
      </c>
      <c r="H76" s="166" t="s">
        <v>64</v>
      </c>
      <c r="I76" s="166" t="s">
        <v>67</v>
      </c>
      <c r="J76" s="166" t="s">
        <v>67</v>
      </c>
      <c r="K76" s="166" t="s">
        <v>67</v>
      </c>
      <c r="L76" s="166" t="s">
        <v>67</v>
      </c>
      <c r="M76" s="166" t="s">
        <v>64</v>
      </c>
      <c r="N76" s="166" t="s">
        <v>67</v>
      </c>
    </row>
    <row r="77" spans="1:15" ht="14.15" customHeight="1">
      <c r="A77" s="157" t="str">
        <f t="shared" si="3"/>
        <v>10.2.a</v>
      </c>
      <c r="B77" s="398"/>
      <c r="C77" s="197" t="s">
        <v>232</v>
      </c>
      <c r="D77" s="197"/>
      <c r="E77" s="165" t="s">
        <v>67</v>
      </c>
      <c r="F77" s="166" t="s">
        <v>67</v>
      </c>
      <c r="G77" s="166" t="s">
        <v>67</v>
      </c>
      <c r="H77" s="166" t="s">
        <v>67</v>
      </c>
      <c r="I77" s="166" t="s">
        <v>67</v>
      </c>
      <c r="J77" s="166" t="s">
        <v>67</v>
      </c>
      <c r="K77" s="166" t="s">
        <v>67</v>
      </c>
      <c r="L77" s="166" t="s">
        <v>67</v>
      </c>
      <c r="M77" s="166" t="s">
        <v>67</v>
      </c>
      <c r="N77" s="166" t="s">
        <v>67</v>
      </c>
    </row>
    <row r="78" spans="1:15" ht="14">
      <c r="A78" s="157" t="str">
        <f t="shared" si="3"/>
        <v>10.2.b</v>
      </c>
      <c r="B78" s="400"/>
      <c r="C78" s="197" t="s">
        <v>234</v>
      </c>
      <c r="D78" s="197"/>
      <c r="E78" s="163" t="s">
        <v>67</v>
      </c>
      <c r="F78" s="164" t="s">
        <v>67</v>
      </c>
      <c r="G78" s="164" t="s">
        <v>69</v>
      </c>
      <c r="H78" s="164" t="s">
        <v>69</v>
      </c>
      <c r="I78" s="164" t="s">
        <v>67</v>
      </c>
      <c r="J78" s="164" t="s">
        <v>67</v>
      </c>
      <c r="K78" s="164" t="s">
        <v>67</v>
      </c>
      <c r="L78" s="164" t="s">
        <v>67</v>
      </c>
      <c r="M78" s="164" t="s">
        <v>69</v>
      </c>
      <c r="N78" s="164" t="s">
        <v>67</v>
      </c>
    </row>
    <row r="79" spans="1:15" ht="35.5" customHeight="1">
      <c r="A79" s="157">
        <v>11</v>
      </c>
      <c r="B79" s="198" t="s">
        <v>658</v>
      </c>
      <c r="C79" s="195" t="s">
        <v>659</v>
      </c>
      <c r="D79" s="196"/>
      <c r="E79" s="163" t="s">
        <v>92</v>
      </c>
      <c r="F79" s="164" t="s">
        <v>92</v>
      </c>
      <c r="G79" s="164" t="s">
        <v>92</v>
      </c>
      <c r="H79" s="164" t="s">
        <v>92</v>
      </c>
      <c r="I79" s="164" t="s">
        <v>92</v>
      </c>
      <c r="J79" s="164" t="s">
        <v>92</v>
      </c>
      <c r="K79" s="164" t="s">
        <v>92</v>
      </c>
      <c r="L79" s="164" t="s">
        <v>92</v>
      </c>
      <c r="M79" s="164" t="s">
        <v>92</v>
      </c>
      <c r="N79" s="164" t="s">
        <v>92</v>
      </c>
    </row>
    <row r="80" spans="1:15" s="8" customFormat="1" ht="15" customHeight="1">
      <c r="A80" s="199"/>
      <c r="O80" s="200"/>
    </row>
    <row r="81" spans="1:15" s="8" customFormat="1" ht="15" customHeight="1">
      <c r="A81" s="199"/>
      <c r="O81" s="200"/>
    </row>
    <row r="82" spans="1:15" s="8" customFormat="1" ht="15" customHeight="1">
      <c r="A82" s="199"/>
      <c r="O82" s="200"/>
    </row>
    <row r="83" spans="1:15" s="8" customFormat="1" ht="15" hidden="1" customHeight="1">
      <c r="A83" s="199"/>
      <c r="O83" s="200"/>
    </row>
  </sheetData>
  <sheetProtection sheet="1" objects="1" scenarios="1"/>
  <mergeCells count="12">
    <mergeCell ref="B45:B52"/>
    <mergeCell ref="B63:B71"/>
    <mergeCell ref="B72:B78"/>
    <mergeCell ref="B16:B22"/>
    <mergeCell ref="B23:B28"/>
    <mergeCell ref="B29:B37"/>
    <mergeCell ref="B53:B62"/>
    <mergeCell ref="K1:N1"/>
    <mergeCell ref="B6:B9"/>
    <mergeCell ref="B10:B15"/>
    <mergeCell ref="B2:D2"/>
    <mergeCell ref="B38:B44"/>
  </mergeCells>
  <conditionalFormatting sqref="D6:N6 C7:N9 D10 E10:N13 C11:D13 C14:N15 D16:N16 C17:N22 D23:N23 C24:N28 D29:N29 C30:N37 D38:N38 C39:N44 D45:N45 C46:N52 D53:N53 C54:N62 D63:N63 C64:N71 D72:N72 C73:N78 D79:N79">
    <cfRule type="cellIs" dxfId="15" priority="1" operator="equal">
      <formula>"Not assessed"</formula>
    </cfRule>
    <cfRule type="cellIs" dxfId="14" priority="2" operator="equal">
      <formula>"Not Applicable"</formula>
    </cfRule>
  </conditionalFormatting>
  <conditionalFormatting sqref="E6:N79">
    <cfRule type="cellIs" dxfId="13" priority="3" operator="equal">
      <formula>"Decline in score"</formula>
    </cfRule>
    <cfRule type="cellIs" dxfId="12" priority="4" operator="equal">
      <formula>"Improvement in score"</formula>
    </cfRule>
    <cfRule type="cellIs" dxfId="11" priority="5" operator="equal">
      <formula>"Partial"</formula>
    </cfRule>
    <cfRule type="cellIs" dxfId="10" priority="6" operator="equal">
      <formula>"N"</formula>
    </cfRule>
    <cfRule type="cellIs" dxfId="9" priority="7" operator="equal">
      <formula>"Y"</formula>
    </cfRule>
  </conditionalFormatting>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c11f6f6-ee3c-4e32-bab1-3707a07f61f3">
      <Terms xmlns="http://schemas.microsoft.com/office/infopath/2007/PartnerControls"/>
    </lcf76f155ced4ddcb4097134ff3c332f>
    <_ip_UnifiedCompliancePolicyProperties xmlns="http://schemas.microsoft.com/sharepoint/v3" xsi:nil="true"/>
    <TaxCatchAll xmlns="bba0be18-b10b-4cc3-b717-83a87bfa736c" xsi:nil="true"/>
    <Date xmlns="3c11f6f6-ee3c-4e32-bab1-3707a07f61f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8040B23526414F86D566C1534C2F6B" ma:contentTypeVersion="21" ma:contentTypeDescription="Create a new document." ma:contentTypeScope="" ma:versionID="312e3840509196d7d37a8affdbee5ebe">
  <xsd:schema xmlns:xsd="http://www.w3.org/2001/XMLSchema" xmlns:xs="http://www.w3.org/2001/XMLSchema" xmlns:p="http://schemas.microsoft.com/office/2006/metadata/properties" xmlns:ns1="http://schemas.microsoft.com/sharepoint/v3" xmlns:ns2="bba0be18-b10b-4cc3-b717-83a87bfa736c" xmlns:ns3="3c11f6f6-ee3c-4e32-bab1-3707a07f61f3" targetNamespace="http://schemas.microsoft.com/office/2006/metadata/properties" ma:root="true" ma:fieldsID="96aa8ed4f71fa2916b432318ab098437" ns1:_="" ns2:_="" ns3:_="">
    <xsd:import namespace="http://schemas.microsoft.com/sharepoint/v3"/>
    <xsd:import namespace="bba0be18-b10b-4cc3-b717-83a87bfa736c"/>
    <xsd:import namespace="3c11f6f6-ee3c-4e32-bab1-3707a07f61f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1:_ip_UnifiedCompliancePolicyProperties" minOccurs="0"/>
                <xsd:element ref="ns1:_ip_UnifiedCompliancePolicyUIAction" minOccurs="0"/>
                <xsd:element ref="ns3:lcf76f155ced4ddcb4097134ff3c332f" minOccurs="0"/>
                <xsd:element ref="ns2:TaxCatchAll" minOccurs="0"/>
                <xsd:element ref="ns3:Dat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a0be18-b10b-4cc3-b717-83a87bfa736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fea7640c-51cc-483a-bdd6-30587774ad92}" ma:internalName="TaxCatchAll" ma:showField="CatchAllData" ma:web="bba0be18-b10b-4cc3-b717-83a87bfa736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c11f6f6-ee3c-4e32-bab1-3707a07f61f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0411674-8b6c-4ff2-843d-d4ec9d98e1f5" ma:termSetId="09814cd3-568e-fe90-9814-8d621ff8fb84" ma:anchorId="fba54fb3-c3e1-fe81-a776-ca4b69148c4d" ma:open="true" ma:isKeyword="false">
      <xsd:complexType>
        <xsd:sequence>
          <xsd:element ref="pc:Terms" minOccurs="0" maxOccurs="1"/>
        </xsd:sequence>
      </xsd:complexType>
    </xsd:element>
    <xsd:element name="Date" ma:index="26" nillable="true" ma:displayName="Date" ma:format="DateOnly" ma:internalName="Date">
      <xsd:simpleType>
        <xsd:restriction base="dms:DateTim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32C930-CFA1-4154-B3B0-DA5A73996907}">
  <ds:schemaRefs>
    <ds:schemaRef ds:uri="http://schemas.microsoft.com/office/2006/metadata/properties"/>
    <ds:schemaRef ds:uri="http://schemas.microsoft.com/office/infopath/2007/PartnerControls"/>
    <ds:schemaRef ds:uri="http://schemas.microsoft.com/sharepoint/v3"/>
    <ds:schemaRef ds:uri="3c11f6f6-ee3c-4e32-bab1-3707a07f61f3"/>
    <ds:schemaRef ds:uri="bba0be18-b10b-4cc3-b717-83a87bfa736c"/>
  </ds:schemaRefs>
</ds:datastoreItem>
</file>

<file path=customXml/itemProps2.xml><?xml version="1.0" encoding="utf-8"?>
<ds:datastoreItem xmlns:ds="http://schemas.openxmlformats.org/officeDocument/2006/customXml" ds:itemID="{E66BA5B0-FE59-4CF4-B1AE-AD072B6C6D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a0be18-b10b-4cc3-b717-83a87bfa736c"/>
    <ds:schemaRef ds:uri="3c11f6f6-ee3c-4e32-bab1-3707a07f6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26796E-F04F-4F47-91BF-40637496E0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Start</vt:lpstr>
      <vt:lpstr>How the NZS works</vt:lpstr>
      <vt:lpstr>Summary</vt:lpstr>
      <vt:lpstr>Company Scorecard - select</vt:lpstr>
      <vt:lpstr>Company Comparisons</vt:lpstr>
      <vt:lpstr>NZS O&amp;G and CA100</vt:lpstr>
      <vt:lpstr>NZS O&amp;G Summary</vt:lpstr>
      <vt:lpstr>CA100 2023 Scores</vt:lpstr>
      <vt:lpstr>'How the NZS works'!_1._Structure</vt:lpstr>
      <vt:lpstr>_5._How_to_use_this_workbook</vt:lpstr>
      <vt:lpstr>'How the NZS works'!Aggregating_metrics_into_sub_indicator_and_indicator_and_colour_coding</vt:lpstr>
      <vt:lpstr>'How the NZS works'!Classification_of_metrics_by_type___Bucketing</vt:lpstr>
      <vt:lpstr>'How the NZS works'!Status_of_alignment_assessments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Bouckaert</dc:creator>
  <cp:keywords/>
  <dc:description/>
  <cp:lastModifiedBy>Hannah Bouckaert</cp:lastModifiedBy>
  <cp:revision/>
  <dcterms:created xsi:type="dcterms:W3CDTF">2023-12-18T10:53:57Z</dcterms:created>
  <dcterms:modified xsi:type="dcterms:W3CDTF">2024-04-26T12:26:06Z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0x0101008A8040B23526414F86D566C1534C2F6B</vt:lpwstr>
  </property>
  <property fmtid="{D5CDD505-2E9C-101B-9397-08002B2CF9AE}" pid="3" name="MediaServiceImageTags">
    <vt:lpwstr/>
  </property>
</Properties>
</file>